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rz20VTB0/9wZD2JKlJL0sc1ahsWrklSFPdT3hVJShdXrTOdZmvw6ajU7G+DQDtIOqq06Wp+19KPR2JevCZqEQ==" workbookSaltValue="jUBs+feRYHq+FtWFalnL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AR23" i="11" s="1"/>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H14" i="12" s="1"/>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AN12" i="11" s="1"/>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BE21" i="13"/>
  <c r="AR14" i="21"/>
  <c r="BJ14" i="16"/>
  <c r="AT26" i="20"/>
  <c r="AI14" i="20"/>
  <c r="BF13" i="8"/>
  <c r="R14" i="12"/>
  <c r="AH31" i="8"/>
  <c r="BA26" i="13"/>
  <c r="AT30" i="20"/>
  <c r="P31" i="19"/>
  <c r="R13" i="17"/>
  <c r="BE11" i="13"/>
  <c r="BD21" i="8"/>
  <c r="H21" i="7" s="1"/>
  <c r="BG18" i="8"/>
  <c r="K18" i="7" s="1"/>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I16" i="12" s="1"/>
  <c r="Y25" i="11"/>
  <c r="W26" i="11"/>
  <c r="B29" i="6"/>
  <c r="K29" i="7"/>
  <c r="F10" i="10"/>
  <c r="E28" i="3"/>
  <c r="D26" i="14"/>
  <c r="D11" i="2"/>
  <c r="B19" i="6"/>
  <c r="AO10" i="11"/>
  <c r="B10" i="6"/>
  <c r="AL28" i="11"/>
  <c r="AL13" i="11"/>
  <c r="E13" i="6"/>
  <c r="I10" i="7"/>
  <c r="H10" i="2"/>
  <c r="C13" i="6"/>
  <c r="AO19" i="11"/>
  <c r="F19" i="2"/>
  <c r="D19" i="6"/>
  <c r="J19" i="12" s="1"/>
  <c r="J19" i="7"/>
  <c r="H19" i="2"/>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18" i="11"/>
  <c r="AP17" i="20"/>
  <c r="BH9" i="16"/>
  <c r="BH11" i="16"/>
  <c r="BK19" i="11"/>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J11" i="7"/>
  <c r="F9" i="2"/>
  <c r="B11" i="6"/>
  <c r="N26" i="2"/>
  <c r="L11" i="14"/>
  <c r="H18" i="2"/>
  <c r="H16" i="2"/>
  <c r="M14" i="2"/>
  <c r="M23" i="2"/>
  <c r="N14" i="2"/>
  <c r="AO18" i="1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F20" i="2"/>
  <c r="AL12" i="11"/>
  <c r="I12" i="7"/>
  <c r="E14" i="2"/>
  <c r="F14" i="2" s="1"/>
  <c r="F29" i="2"/>
  <c r="C20" i="6"/>
  <c r="F13" i="2"/>
  <c r="J13" i="2"/>
  <c r="AM12" i="11"/>
  <c r="J20" i="7"/>
  <c r="C14" i="2"/>
  <c r="D14" i="2" s="1"/>
  <c r="C12" i="6"/>
  <c r="I12" i="12" s="1"/>
  <c r="B12" i="6"/>
  <c r="E12" i="6"/>
  <c r="E28" i="6"/>
  <c r="D20" i="6"/>
  <c r="J20" i="12" s="1"/>
  <c r="AO12" i="17"/>
  <c r="G23" i="2"/>
  <c r="AL23" i="11" s="1"/>
  <c r="E11" i="6"/>
  <c r="AO28" i="11"/>
  <c r="I23" i="2"/>
  <c r="J23" i="2" s="1"/>
  <c r="J12" i="7"/>
  <c r="F30" i="17"/>
  <c r="F26" i="17"/>
  <c r="AN20" i="11"/>
  <c r="AL20" i="11"/>
  <c r="Z14" i="11"/>
  <c r="AC10" i="11"/>
  <c r="AB14" i="11"/>
  <c r="AB23" i="11"/>
  <c r="AC22" i="11"/>
  <c r="AC29" i="11"/>
  <c r="AC30" i="11" s="1"/>
  <c r="AB30" i="11"/>
  <c r="AD14" i="11"/>
  <c r="M31" i="8"/>
  <c r="F31" i="7" s="1"/>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H31" i="12"/>
  <c r="AL14" i="11"/>
  <c r="B14" i="6"/>
  <c r="BL18" i="16"/>
  <c r="Z23" i="16"/>
  <c r="AA23" i="16" s="1"/>
  <c r="BF14" i="16"/>
  <c r="BL19" i="16"/>
  <c r="AP14" i="16"/>
  <c r="AL31" i="16"/>
  <c r="BK14" i="16"/>
  <c r="O23" i="16"/>
  <c r="O26" i="16" s="1"/>
  <c r="R26" i="16"/>
  <c r="AA9" i="16"/>
  <c r="AB14" i="16"/>
  <c r="G14" i="16"/>
  <c r="BD14" i="16"/>
  <c r="AB26" i="16"/>
  <c r="BE14" i="16"/>
  <c r="F16" i="16"/>
  <c r="V25" i="16"/>
  <c r="V9"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Q32" i="20"/>
  <c r="G14" i="14"/>
  <c r="AX32" i="20"/>
  <c r="Y18" i="11" l="1"/>
  <c r="AV23" i="21"/>
  <c r="F14" i="7"/>
  <c r="D12" i="6"/>
  <c r="J12" i="12" s="1"/>
  <c r="AL25" i="11"/>
  <c r="F23" i="2"/>
  <c r="BE11" i="11"/>
  <c r="T9"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K32" i="20"/>
  <c r="AW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Z32" i="20"/>
  <c r="O18" i="11"/>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E31" i="14" s="1"/>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V23"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F33" i="12" l="1"/>
  <c r="S23"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E32" i="21"/>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N32" i="16"/>
  <c r="BO32" i="16"/>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S31" i="17"/>
  <c r="V31" i="16"/>
  <c r="BF31" i="11"/>
  <c r="BT31" i="16"/>
  <c r="BT33" i="16"/>
  <c r="BG31" i="8"/>
  <c r="K31" i="7" s="1"/>
  <c r="AS33" i="20"/>
  <c r="AR33" i="20" s="1"/>
  <c r="F31" i="17"/>
  <c r="AQ31" i="17" s="1"/>
  <c r="BD31" i="8"/>
  <c r="H31" i="2"/>
  <c r="I31" i="3"/>
  <c r="C31" i="14"/>
  <c r="J30" i="12"/>
  <c r="X26" i="17"/>
  <c r="W30" i="17"/>
  <c r="BF31" i="8"/>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<sst xmlns="http://schemas.openxmlformats.org/spreadsheetml/2006/main" count="2638" uniqueCount="1168">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</sst>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ZuqUx5ZSY0M6Ms/ZDnAIyVp6v9yh8wLTttx8CSI290RXn6oNoOXkRMf6ielmz5WEzq3nhSobtGNqTrpkp9lyoQ==" saltValue="Zb0nEG+o/fA6LS1IKfqJ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CATALUÑA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101</v>
      </c>
      <c r="D10" s="239">
        <f>IF(ISNUMBER(Datos!I10),Datos!I10," - ")</f>
        <v>100</v>
      </c>
      <c r="E10" s="240">
        <f>IF(ISNUMBER(Datos!J10),Datos!J10," - ")</f>
        <v>102</v>
      </c>
      <c r="F10" s="240">
        <f>IF(ISNUMBER(Datos!K10),Datos!K10," - ")</f>
        <v>113</v>
      </c>
      <c r="G10" s="1392" t="str">
        <f>IF(Datos!E10&lt;&gt;"",Datos!E10,Datos!D10)</f>
        <v>37</v>
      </c>
      <c r="H10" s="241">
        <f>IF(ISNUMBER(Datos!L10),Datos!L10," - ")</f>
        <v>90</v>
      </c>
      <c r="I10" s="1402" t="str">
        <f>IF(ISNUMBER(Datos!AS10/Datos!BM10),Datos!AS10/Datos!BM10," - ")</f>
        <v xml:space="preserve"> - </v>
      </c>
      <c r="J10" s="1403">
        <f>IF(ISNUMBER(Datos!BY10/Datos!CN10),Datos!BY10/Datos!CN10," - ")</f>
        <v>0</v>
      </c>
      <c r="K10" s="244">
        <f t="shared" ref="K10:K13" si="1">IF(ISNUMBER((E10-F10)/C10),(E10-F10)/C10," - ")</f>
        <v>-0.10891089108910891</v>
      </c>
      <c r="L10" s="1404">
        <f>IF(ISNUMBER(NºAsuntos!I10/NºAsuntos!G10),(NºAsuntos!I10/NºAsuntos!G10)*11," - ")</f>
        <v>8.7610619469026556</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9</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7.8040235390721229</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101</v>
      </c>
      <c r="D14" s="1409">
        <f>SUBTOTAL(9,D9:D13)</f>
        <v>100</v>
      </c>
      <c r="E14" s="1410">
        <f>SUBTOTAL(9,E9:E13)</f>
        <v>102</v>
      </c>
      <c r="F14" s="1411">
        <f>SUBTOTAL(9,F9:F13)</f>
        <v>113</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9</v>
      </c>
      <c r="B17" s="1464" t="str">
        <f>Datos!A17</f>
        <v xml:space="preserve">Jdos. 1ª Instª. e Instr.                        </v>
      </c>
      <c r="C17" s="239">
        <f t="shared" si="2"/>
        <v>2327</v>
      </c>
      <c r="D17" s="239">
        <f>IF(ISNUMBER(IF(D_I="SI",Datos!I17,Datos!I17+Datos!AC17)),IF(D_I="SI",Datos!I17,Datos!I17+Datos!AC17)," - ")</f>
        <v>2503</v>
      </c>
      <c r="E17" s="240">
        <f>IF(ISNUMBER(IF(D_I="SI",Datos!J17,Datos!J17+Datos!AD17)),IF(D_I="SI",Datos!J17,Datos!J17+Datos!AD17)," - ")</f>
        <v>8374</v>
      </c>
      <c r="F17" s="240">
        <f>IF(ISNUMBER(IF(D_I="SI",Datos!K17,Datos!K17+Datos!AE17)),IF(D_I="SI",Datos!K17,Datos!K17+Datos!AE17)," - ")</f>
        <v>8307</v>
      </c>
      <c r="G17" s="1392" t="str">
        <f>IF(Datos!E17&lt;&gt;"",Datos!E17,Datos!D17)</f>
        <v>04</v>
      </c>
      <c r="H17" s="241">
        <f>IF(ISNUMBER(IF(D_I="SI",Datos!L17,Datos!L17+Datos!AF17)),IF(D_I="SI",Datos!L17,Datos!L17+Datos!AF17)," - ")</f>
        <v>2394</v>
      </c>
      <c r="I17" s="1402" t="str">
        <f>IF(ISNUMBER(Datos!AS17/Datos!BM17),Datos!AS17/Datos!BM17," - ")</f>
        <v xml:space="preserve"> - </v>
      </c>
      <c r="J17" s="1403">
        <f>IF(ISNUMBER(Datos!BY17/Datos!CN17),Datos!BY17/Datos!CN17," - ")</f>
        <v>0</v>
      </c>
      <c r="K17" s="244">
        <f t="shared" si="3"/>
        <v>2.8792436613665665E-2</v>
      </c>
      <c r="L17" s="1404">
        <f>IF(ISNUMBER(NºAsuntos!I17/NºAsuntos!G17),(NºAsuntos!I17/NºAsuntos!G17)*11," - ")</f>
        <v>3.1700975081256773</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226</v>
      </c>
      <c r="D18" s="239">
        <f>IF(ISNUMBER(IF(D_I="SI",Datos!I18,Datos!I18+Datos!AC18)),IF(D_I="SI",Datos!I18,Datos!I18+Datos!AC18)," - ")</f>
        <v>226</v>
      </c>
      <c r="E18" s="240">
        <f>IF(ISNUMBER(IF(D_I="SI",Datos!J18,Datos!J18+Datos!AD18)),IF(D_I="SI",Datos!J18,Datos!J18+Datos!AD18)," - ")</f>
        <v>658</v>
      </c>
      <c r="F18" s="240">
        <f>IF(ISNUMBER(IF(D_I="SI",Datos!K18,Datos!K18+Datos!AE18)),IF(D_I="SI",Datos!K18,Datos!K18+Datos!AE18)," - ")</f>
        <v>610</v>
      </c>
      <c r="G18" s="1392" t="str">
        <f>IF(Datos!E18&lt;&gt;"",Datos!E18,Datos!D18)</f>
        <v>37</v>
      </c>
      <c r="H18" s="241">
        <f>IF(ISNUMBER(IF(D_I="SI",Datos!L18,Datos!L18+Datos!AF18)),IF(D_I="SI",Datos!L18,Datos!L18+Datos!AF18)," - ")</f>
        <v>274</v>
      </c>
      <c r="I18" s="1402" t="str">
        <f>IF(ISNUMBER(Datos!AS18/Datos!BM18),Datos!AS18/Datos!BM18," - ")</f>
        <v xml:space="preserve"> - </v>
      </c>
      <c r="J18" s="1403" t="str">
        <f>IF(ISNUMBER((Datos!BY18+Datos!BZ18)/Datos!CN18),(Datos!BY18+Datos!BZ18)/Datos!CN18," - ")</f>
        <v xml:space="preserve"> - </v>
      </c>
      <c r="K18" s="244">
        <f t="shared" si="3"/>
        <v>0.21238938053097345</v>
      </c>
      <c r="L18" s="1404">
        <f>IF(ISNUMBER(NºAsuntos!I18/NºAsuntos!G18),(NºAsuntos!I18/NºAsuntos!G18)*11," - ")</f>
        <v>4.9409836065573769</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2553</v>
      </c>
      <c r="D23" s="1409">
        <f>SUBTOTAL(9,D16:D22)</f>
        <v>2729</v>
      </c>
      <c r="E23" s="1410">
        <f>SUBTOTAL(9,E16:E22)</f>
        <v>9032</v>
      </c>
      <c r="F23" s="1410">
        <f>SUBTOTAL(9,F16:F22)</f>
        <v>8917</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2654</v>
      </c>
      <c r="D31" s="1437">
        <f>SUBTOTAL(9,D9:D30)</f>
        <v>2829</v>
      </c>
      <c r="E31" s="1438">
        <f>SUBTOTAL(9,E9:E30)</f>
        <v>9134</v>
      </c>
      <c r="F31" s="1438">
        <f>SUBTOTAL(9,F9:F30)</f>
        <v>9030</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UNFNVj1diWB7QNhBvQyZmxrBx3Dn5I0fKQANdBM5xbhsWPvyXvoKwu0LCv3DPkCBM7PPYST6FUdFtf6BuFBfAw==" saltValue="9/qJa0wpSoaxgcnKgyZce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ZCrLRL2nyVu7yaTGgi6uvMz/nPp7lkeH/HTaRQQf9nDD6wiCwq8HkZz4eMkrY+d215kOKnsU0lW6/zKfpD3lOg==" saltValue="V3PNE7eimFvSFv3ssh1Y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100</v>
      </c>
      <c r="J10" s="194">
        <v>102</v>
      </c>
      <c r="K10" s="194">
        <v>113</v>
      </c>
      <c r="L10" s="194">
        <v>90</v>
      </c>
      <c r="M10" s="194">
        <v>46</v>
      </c>
      <c r="N10" s="194">
        <v>46</v>
      </c>
      <c r="O10" s="194">
        <v>37</v>
      </c>
      <c r="P10" s="194">
        <v>26</v>
      </c>
      <c r="Q10" s="194">
        <v>20</v>
      </c>
      <c r="R10" s="194">
        <v>86</v>
      </c>
      <c r="S10" s="194">
        <v>74</v>
      </c>
      <c r="T10" s="194">
        <v>98</v>
      </c>
      <c r="U10" s="194">
        <v>75</v>
      </c>
      <c r="V10" s="194">
        <v>100</v>
      </c>
      <c r="W10" s="194">
        <v>31</v>
      </c>
      <c r="X10" s="201">
        <v>29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1" t="s">
        <v>1078</v>
      </c>
      <c r="AT10" s="205"/>
      <c r="AU10" s="213"/>
      <c r="AV10" s="205"/>
      <c r="AW10" s="213"/>
      <c r="AX10" s="205"/>
      <c r="AY10" s="138">
        <f t="shared" ref="AY10:BC10" si="0">IF(ISNUMBER(S10),S10," - ")</f>
        <v>74</v>
      </c>
      <c r="AZ10" s="139">
        <f t="shared" si="0"/>
        <v>98</v>
      </c>
      <c r="BA10" s="139">
        <f t="shared" si="0"/>
        <v>75</v>
      </c>
      <c r="BB10" s="139">
        <f t="shared" si="0"/>
        <v>100</v>
      </c>
      <c r="BC10" s="135">
        <f t="shared" si="0"/>
        <v>31</v>
      </c>
      <c r="BD10" s="136">
        <f>IF(ISNUMBER(BA10/AZ10),BA10/AZ10," - ")</f>
        <v>0.76530612244897955</v>
      </c>
      <c r="BE10" s="137">
        <f>IF(ISNUMBER(BB10/BA10),BB10/BA10, " - ")</f>
        <v>1.3333333333333333</v>
      </c>
      <c r="BF10" s="137">
        <f>IF(ISNUMBER(BC10/BA10),BC10/BA10, " - ")</f>
        <v>0.41333333333333333</v>
      </c>
      <c r="BG10" s="209">
        <f>IF(ISNUMBER((AY10+AZ10)/BA10),(AY10+AZ10)/BA10," - ")</f>
        <v>2.2933333333333334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4543</v>
      </c>
      <c r="J12" s="196">
        <v>7633</v>
      </c>
      <c r="K12" s="196">
        <v>7117</v>
      </c>
      <c r="L12" s="196">
        <v>5065</v>
      </c>
      <c r="M12" s="196">
        <v>1751</v>
      </c>
      <c r="N12" s="196">
        <v>2601</v>
      </c>
      <c r="O12" s="194">
        <v>3490</v>
      </c>
      <c r="P12" s="196">
        <v>1844</v>
      </c>
      <c r="Q12" s="196">
        <v>2466</v>
      </c>
      <c r="R12" s="196">
        <v>7286</v>
      </c>
      <c r="S12" s="196">
        <v>3912</v>
      </c>
      <c r="T12" s="196">
        <v>5935</v>
      </c>
      <c r="U12" s="196">
        <v>5285</v>
      </c>
      <c r="V12" s="196">
        <v>4543</v>
      </c>
      <c r="W12" s="196">
        <v>1183</v>
      </c>
      <c r="X12" s="202">
        <v>1943</v>
      </c>
      <c r="Y12" s="204">
        <v>117</v>
      </c>
      <c r="Z12" s="194">
        <v>192</v>
      </c>
      <c r="AA12" s="194">
        <v>190</v>
      </c>
      <c r="AB12" s="194">
        <v>119</v>
      </c>
      <c r="AC12" s="196">
        <v>0</v>
      </c>
      <c r="AD12" s="196">
        <v>0</v>
      </c>
      <c r="AE12" s="196">
        <v>0</v>
      </c>
      <c r="AF12" s="202">
        <v>0</v>
      </c>
      <c r="AG12" s="215">
        <v>119</v>
      </c>
      <c r="AH12" s="196">
        <v>97</v>
      </c>
      <c r="AI12" s="196">
        <v>99</v>
      </c>
      <c r="AJ12" s="216">
        <v>117</v>
      </c>
      <c r="AK12" s="195">
        <v>0</v>
      </c>
      <c r="AL12" s="196">
        <v>0</v>
      </c>
      <c r="AM12" s="196">
        <v>0</v>
      </c>
      <c r="AN12" s="202">
        <v>0</v>
      </c>
      <c r="AO12" s="283">
        <v>9</v>
      </c>
      <c r="AP12" s="168">
        <v>9</v>
      </c>
      <c r="AQ12" s="168">
        <v>9</v>
      </c>
      <c r="AR12" s="167">
        <v>9</v>
      </c>
      <c r="AS12" s="382" t="s">
        <v>1089</v>
      </c>
      <c r="AT12" s="216"/>
      <c r="AU12" s="215"/>
      <c r="AV12" s="216"/>
      <c r="AW12" s="215"/>
      <c r="AX12" s="216"/>
      <c r="AY12" s="136">
        <f t="shared" si="1"/>
        <v>4031</v>
      </c>
      <c r="AZ12" s="137">
        <f t="shared" si="1"/>
        <v>6032</v>
      </c>
      <c r="BA12" s="137">
        <f t="shared" si="1"/>
        <v>5384</v>
      </c>
      <c r="BB12" s="137">
        <f t="shared" si="1"/>
        <v>4660</v>
      </c>
      <c r="BC12" s="135">
        <f>IF(ISNUMBER(X12),X12," - ")</f>
        <v>1943</v>
      </c>
      <c r="BD12" s="136">
        <f t="shared" si="2"/>
        <v>0.89257294429708223</v>
      </c>
      <c r="BE12" s="137">
        <f t="shared" si="3"/>
        <v>0.86552748885586928</v>
      </c>
      <c r="BF12" s="137">
        <f t="shared" si="4"/>
        <v>0.36088410104011887</v>
      </c>
      <c r="BG12" s="209">
        <f t="shared" si="5"/>
        <v>1.8690564635958395</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4643</v>
      </c>
      <c r="J14" s="197">
        <f t="shared" si="7"/>
        <v>7735</v>
      </c>
      <c r="K14" s="197">
        <f t="shared" si="7"/>
        <v>7230</v>
      </c>
      <c r="L14" s="197">
        <f t="shared" si="7"/>
        <v>5155</v>
      </c>
      <c r="M14" s="197">
        <f t="shared" si="7"/>
        <v>1797</v>
      </c>
      <c r="N14" s="197">
        <f t="shared" si="7"/>
        <v>2647</v>
      </c>
      <c r="O14" s="197">
        <f t="shared" si="7"/>
        <v>3527</v>
      </c>
      <c r="P14" s="197">
        <f t="shared" si="7"/>
        <v>1870</v>
      </c>
      <c r="Q14" s="197">
        <f t="shared" si="7"/>
        <v>2486</v>
      </c>
      <c r="R14" s="197">
        <f t="shared" si="7"/>
        <v>7372</v>
      </c>
      <c r="S14" s="197">
        <f t="shared" si="7"/>
        <v>3986</v>
      </c>
      <c r="T14" s="197">
        <f t="shared" si="7"/>
        <v>6033</v>
      </c>
      <c r="U14" s="197">
        <f t="shared" si="7"/>
        <v>5360</v>
      </c>
      <c r="V14" s="197">
        <f t="shared" si="7"/>
        <v>4643</v>
      </c>
      <c r="W14" s="197">
        <f t="shared" si="7"/>
        <v>1214</v>
      </c>
      <c r="X14" s="197">
        <f t="shared" si="7"/>
        <v>1972</v>
      </c>
      <c r="Y14" s="197">
        <f t="shared" si="7"/>
        <v>117</v>
      </c>
      <c r="Z14" s="197">
        <f t="shared" si="7"/>
        <v>192</v>
      </c>
      <c r="AA14" s="197">
        <f t="shared" si="7"/>
        <v>190</v>
      </c>
      <c r="AB14" s="197">
        <f t="shared" si="7"/>
        <v>119</v>
      </c>
      <c r="AC14" s="197">
        <f t="shared" si="7"/>
        <v>0</v>
      </c>
      <c r="AD14" s="197">
        <f t="shared" si="7"/>
        <v>0</v>
      </c>
      <c r="AE14" s="197">
        <f t="shared" si="7"/>
        <v>0</v>
      </c>
      <c r="AF14" s="197">
        <f>SUBTOTAL(9,AF9:AF13)</f>
        <v>0</v>
      </c>
      <c r="AG14" s="197">
        <f t="shared" ref="AG14:AT14" si="8">SUBTOTAL(9,AG8:AG13)</f>
        <v>119</v>
      </c>
      <c r="AH14" s="197">
        <f t="shared" si="8"/>
        <v>97</v>
      </c>
      <c r="AI14" s="197">
        <f t="shared" si="8"/>
        <v>99</v>
      </c>
      <c r="AJ14" s="197">
        <f t="shared" si="8"/>
        <v>117</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4105</v>
      </c>
      <c r="AZ14" s="197">
        <f>SUBTOTAL(9,AZ8:AZ13)</f>
        <v>6130</v>
      </c>
      <c r="BA14" s="197">
        <f>SUBTOTAL(9,BA8:BA13)</f>
        <v>5459</v>
      </c>
      <c r="BB14" s="197">
        <f>SUBTOTAL(9,BB8:BB13)</f>
        <v>4760</v>
      </c>
      <c r="BC14" s="197">
        <f>SUBTOTAL(9,BC8:BC13)</f>
        <v>1974</v>
      </c>
      <c r="BD14" s="219">
        <f>IF(ISNUMBER(BA14/AZ14),BA14/AZ14," - ")</f>
        <v>0.89053833605220223</v>
      </c>
      <c r="BE14" s="220">
        <f>IF(ISNUMBER(BB14/BA14),BB14/BA14, " - ")</f>
        <v>0.87195457043414548</v>
      </c>
      <c r="BF14" s="220">
        <f>IF(ISNUMBER(BC14/BA14),BC14/BA14, " - ")</f>
        <v>0.36160468950357211</v>
      </c>
      <c r="BG14" s="221">
        <f>IF(ISNUMBER((AY14+AZ14)/BA14),(AY14+AZ14)/BA14," - ")</f>
        <v>1.8748855101666972</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2503</v>
      </c>
      <c r="J17" s="196">
        <v>8374</v>
      </c>
      <c r="K17" s="196">
        <v>8307</v>
      </c>
      <c r="L17" s="196">
        <v>2394</v>
      </c>
      <c r="M17" s="196">
        <v>1055</v>
      </c>
      <c r="N17" s="196">
        <v>5391</v>
      </c>
      <c r="O17" s="194">
        <v>151</v>
      </c>
      <c r="P17" s="196">
        <v>386</v>
      </c>
      <c r="Q17" s="196">
        <v>429</v>
      </c>
      <c r="R17" s="196">
        <v>346</v>
      </c>
      <c r="S17" s="196">
        <v>2150</v>
      </c>
      <c r="T17" s="196">
        <v>7687</v>
      </c>
      <c r="U17" s="196">
        <v>7120</v>
      </c>
      <c r="V17" s="196">
        <v>2503</v>
      </c>
      <c r="W17" s="196">
        <v>824</v>
      </c>
      <c r="X17" s="202">
        <v>4073</v>
      </c>
      <c r="Y17" s="215">
        <v>0</v>
      </c>
      <c r="Z17" s="196">
        <v>0</v>
      </c>
      <c r="AA17" s="196">
        <v>0</v>
      </c>
      <c r="AB17" s="196">
        <v>0</v>
      </c>
      <c r="AC17" s="196">
        <v>64</v>
      </c>
      <c r="AD17" s="196">
        <v>315</v>
      </c>
      <c r="AE17" s="196">
        <v>368</v>
      </c>
      <c r="AF17" s="202">
        <v>11</v>
      </c>
      <c r="AG17" s="215">
        <v>0</v>
      </c>
      <c r="AH17" s="196">
        <v>0</v>
      </c>
      <c r="AI17" s="196">
        <v>0</v>
      </c>
      <c r="AJ17" s="216">
        <v>0</v>
      </c>
      <c r="AK17" s="195">
        <v>52</v>
      </c>
      <c r="AL17" s="196">
        <v>292</v>
      </c>
      <c r="AM17" s="196">
        <v>280</v>
      </c>
      <c r="AN17" s="202">
        <v>64</v>
      </c>
      <c r="AO17" s="283">
        <v>9</v>
      </c>
      <c r="AP17" s="168">
        <v>9</v>
      </c>
      <c r="AQ17" s="168">
        <v>9</v>
      </c>
      <c r="AR17" s="168">
        <v>9</v>
      </c>
      <c r="AS17" s="382" t="s">
        <v>653</v>
      </c>
      <c r="AT17" s="216"/>
      <c r="AU17" s="215"/>
      <c r="AV17" s="216"/>
      <c r="AW17" s="215"/>
      <c r="AX17" s="216"/>
      <c r="AY17" s="136">
        <f t="shared" si="10"/>
        <v>2150</v>
      </c>
      <c r="AZ17" s="137">
        <f t="shared" si="10"/>
        <v>7687</v>
      </c>
      <c r="BA17" s="137">
        <f t="shared" si="10"/>
        <v>7120</v>
      </c>
      <c r="BB17" s="137">
        <f t="shared" si="10"/>
        <v>2503</v>
      </c>
      <c r="BC17" s="135">
        <f>IF(ISNUMBER(W17),W17," - ")</f>
        <v>824</v>
      </c>
      <c r="BD17" s="136">
        <f t="shared" ref="BD17:BD22" si="12">IF(ISNUMBER(BA17/AZ17),BA17/AZ17," - ")</f>
        <v>0.92623910498243789</v>
      </c>
      <c r="BE17" s="137">
        <f t="shared" ref="BE17:BE22" si="13">IF(ISNUMBER(BB17/BA17),BB17/BA17, " - ")</f>
        <v>0.35154494382022472</v>
      </c>
      <c r="BF17" s="137">
        <f t="shared" ref="BF17:BF22" si="14">IF(ISNUMBER(BC17/BA17),BC17/BA17, " - ")</f>
        <v>0.11573033707865168</v>
      </c>
      <c r="BG17" s="209">
        <f t="shared" si="11"/>
        <v>1.3816011235955057</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226</v>
      </c>
      <c r="J18" s="196">
        <v>658</v>
      </c>
      <c r="K18" s="196">
        <v>610</v>
      </c>
      <c r="L18" s="196">
        <v>274</v>
      </c>
      <c r="M18" s="196">
        <v>22</v>
      </c>
      <c r="N18" s="196">
        <v>336</v>
      </c>
      <c r="O18" s="196">
        <v>3</v>
      </c>
      <c r="P18" s="196">
        <v>10</v>
      </c>
      <c r="Q18" s="196">
        <v>4</v>
      </c>
      <c r="R18" s="196">
        <v>12</v>
      </c>
      <c r="S18" s="196">
        <v>142</v>
      </c>
      <c r="T18" s="196">
        <v>748</v>
      </c>
      <c r="U18" s="196">
        <v>666</v>
      </c>
      <c r="V18" s="196">
        <v>226</v>
      </c>
      <c r="W18" s="196">
        <v>18</v>
      </c>
      <c r="X18" s="202">
        <v>256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1" t="s">
        <v>1077</v>
      </c>
      <c r="AT18" s="223"/>
      <c r="AU18" s="213"/>
      <c r="AV18" s="223"/>
      <c r="AW18" s="213"/>
      <c r="AX18" s="223"/>
      <c r="AY18" s="138">
        <f t="shared" ref="AY18:BB19" si="15">IF(ISNUMBER(S18),S18," - ")</f>
        <v>142</v>
      </c>
      <c r="AZ18" s="139">
        <f t="shared" si="15"/>
        <v>748</v>
      </c>
      <c r="BA18" s="139">
        <f t="shared" si="15"/>
        <v>666</v>
      </c>
      <c r="BB18" s="139">
        <f t="shared" si="15"/>
        <v>226</v>
      </c>
      <c r="BC18" s="135">
        <f>IF(ISNUMBER(W18),W18," - ")</f>
        <v>18</v>
      </c>
      <c r="BD18" s="136">
        <f>IF(ISNUMBER(BA18/AZ18),BA18/AZ18," - ")</f>
        <v>0.89037433155080214</v>
      </c>
      <c r="BE18" s="137">
        <f>IF(ISNUMBER(BB18/BA18),BB18/BA18, " - ")</f>
        <v>0.33933933933933935</v>
      </c>
      <c r="BF18" s="137">
        <f>IF(ISNUMBER(BC18/BA18),BC18/BA18, " - ")</f>
        <v>2.7027027027027029E-2</v>
      </c>
      <c r="BG18" s="209">
        <f>IF(ISNUMBER((AY18+AZ18)/BA18),(AY18+AZ18)/BA18," - ")</f>
        <v>1.3363363363363363</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2729</v>
      </c>
      <c r="J23" s="197">
        <f t="shared" si="21"/>
        <v>9032</v>
      </c>
      <c r="K23" s="197">
        <f t="shared" si="21"/>
        <v>8917</v>
      </c>
      <c r="L23" s="197">
        <f t="shared" si="21"/>
        <v>2668</v>
      </c>
      <c r="M23" s="197">
        <f t="shared" si="21"/>
        <v>1077</v>
      </c>
      <c r="N23" s="197">
        <f t="shared" si="21"/>
        <v>5727</v>
      </c>
      <c r="O23" s="197">
        <f t="shared" si="21"/>
        <v>154</v>
      </c>
      <c r="P23" s="197">
        <f t="shared" si="21"/>
        <v>396</v>
      </c>
      <c r="Q23" s="197">
        <f t="shared" si="21"/>
        <v>433</v>
      </c>
      <c r="R23" s="197">
        <f t="shared" si="21"/>
        <v>358</v>
      </c>
      <c r="S23" s="197">
        <f t="shared" si="21"/>
        <v>2292</v>
      </c>
      <c r="T23" s="197">
        <f t="shared" si="21"/>
        <v>8435</v>
      </c>
      <c r="U23" s="197">
        <f t="shared" si="21"/>
        <v>7786</v>
      </c>
      <c r="V23" s="197">
        <f t="shared" si="21"/>
        <v>2729</v>
      </c>
      <c r="W23" s="197">
        <f t="shared" si="21"/>
        <v>842</v>
      </c>
      <c r="X23" s="197">
        <f t="shared" si="21"/>
        <v>4329</v>
      </c>
      <c r="Y23" s="197">
        <f t="shared" si="21"/>
        <v>0</v>
      </c>
      <c r="Z23" s="197">
        <f t="shared" si="21"/>
        <v>0</v>
      </c>
      <c r="AA23" s="197">
        <f t="shared" si="21"/>
        <v>0</v>
      </c>
      <c r="AB23" s="197">
        <f t="shared" si="21"/>
        <v>0</v>
      </c>
      <c r="AC23" s="197">
        <f t="shared" si="21"/>
        <v>64</v>
      </c>
      <c r="AD23" s="197">
        <f t="shared" si="21"/>
        <v>315</v>
      </c>
      <c r="AE23" s="197">
        <f t="shared" si="21"/>
        <v>368</v>
      </c>
      <c r="AF23" s="197">
        <f t="shared" si="21"/>
        <v>11</v>
      </c>
      <c r="AG23" s="197">
        <f t="shared" si="21"/>
        <v>0</v>
      </c>
      <c r="AH23" s="197">
        <f t="shared" si="21"/>
        <v>0</v>
      </c>
      <c r="AI23" s="197">
        <f t="shared" si="21"/>
        <v>0</v>
      </c>
      <c r="AJ23" s="197">
        <f t="shared" si="21"/>
        <v>0</v>
      </c>
      <c r="AK23" s="197">
        <f t="shared" si="21"/>
        <v>52</v>
      </c>
      <c r="AL23" s="197">
        <f t="shared" si="21"/>
        <v>292</v>
      </c>
      <c r="AM23" s="197">
        <f t="shared" si="21"/>
        <v>280</v>
      </c>
      <c r="AN23" s="197">
        <f t="shared" si="21"/>
        <v>64</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2292</v>
      </c>
      <c r="AZ23" s="197">
        <f>SUBTOTAL(9,AZ15:AZ22)</f>
        <v>8435</v>
      </c>
      <c r="BA23" s="197">
        <f>SUBTOTAL(9,BA15:BA22)</f>
        <v>7786</v>
      </c>
      <c r="BB23" s="197">
        <f>SUBTOTAL(9,BB15:BB22)</f>
        <v>2729</v>
      </c>
      <c r="BC23" s="197">
        <f>SUBTOTAL(9,BC15:BC22)</f>
        <v>842</v>
      </c>
      <c r="BD23" s="219">
        <f>IF(ISNUMBER(BA23/AZ23),BA23/AZ23," - ")</f>
        <v>0.92305868405453473</v>
      </c>
      <c r="BE23" s="220">
        <f>IF(ISNUMBER(BB23/BA23),BB23/BA23, " - ")</f>
        <v>0.35050089904957615</v>
      </c>
      <c r="BF23" s="220">
        <f>IF(ISNUMBER(BC23/BA23),BC23/BA23, " - ")</f>
        <v>0.10814282044695607</v>
      </c>
      <c r="BG23" s="221">
        <f>IF(ISNUMBER((AY23+AZ23)/BA23),(AY23+AZ23)/BA23," - ")</f>
        <v>1.3777292576419213</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7372</v>
      </c>
      <c r="J31" s="144">
        <f t="shared" si="36"/>
        <v>16767</v>
      </c>
      <c r="K31" s="144">
        <f t="shared" si="36"/>
        <v>16147</v>
      </c>
      <c r="L31" s="144">
        <f t="shared" si="36"/>
        <v>7823</v>
      </c>
      <c r="M31" s="144">
        <f t="shared" si="36"/>
        <v>2874</v>
      </c>
      <c r="N31" s="144">
        <f t="shared" si="36"/>
        <v>8374</v>
      </c>
      <c r="O31" s="144">
        <f t="shared" si="36"/>
        <v>3681</v>
      </c>
      <c r="P31" s="144">
        <f t="shared" si="36"/>
        <v>2266</v>
      </c>
      <c r="Q31" s="144">
        <f t="shared" si="36"/>
        <v>2919</v>
      </c>
      <c r="R31" s="144">
        <f t="shared" si="36"/>
        <v>7730</v>
      </c>
      <c r="S31" s="144">
        <f t="shared" si="36"/>
        <v>6278</v>
      </c>
      <c r="T31" s="144">
        <f t="shared" si="36"/>
        <v>14468</v>
      </c>
      <c r="U31" s="144">
        <f t="shared" si="36"/>
        <v>13146</v>
      </c>
      <c r="V31" s="144">
        <f t="shared" si="36"/>
        <v>7372</v>
      </c>
      <c r="W31" s="144">
        <f t="shared" si="36"/>
        <v>2056</v>
      </c>
      <c r="X31" s="144">
        <f t="shared" si="36"/>
        <v>6301</v>
      </c>
      <c r="Y31" s="144">
        <f t="shared" si="36"/>
        <v>117</v>
      </c>
      <c r="Z31" s="144">
        <f t="shared" si="36"/>
        <v>192</v>
      </c>
      <c r="AA31" s="144">
        <f t="shared" si="36"/>
        <v>190</v>
      </c>
      <c r="AB31" s="144">
        <f t="shared" si="36"/>
        <v>119</v>
      </c>
      <c r="AC31" s="144">
        <f t="shared" si="36"/>
        <v>64</v>
      </c>
      <c r="AD31" s="144">
        <f t="shared" si="36"/>
        <v>315</v>
      </c>
      <c r="AE31" s="144">
        <f t="shared" si="36"/>
        <v>368</v>
      </c>
      <c r="AF31" s="144">
        <f t="shared" si="36"/>
        <v>11</v>
      </c>
      <c r="AG31" s="144">
        <f t="shared" si="36"/>
        <v>119</v>
      </c>
      <c r="AH31" s="144">
        <f t="shared" si="36"/>
        <v>97</v>
      </c>
      <c r="AI31" s="144">
        <f t="shared" si="36"/>
        <v>99</v>
      </c>
      <c r="AJ31" s="144">
        <f t="shared" si="36"/>
        <v>117</v>
      </c>
      <c r="AK31" s="144">
        <f t="shared" si="36"/>
        <v>52</v>
      </c>
      <c r="AL31" s="144">
        <f t="shared" si="36"/>
        <v>292</v>
      </c>
      <c r="AM31" s="144">
        <f t="shared" si="36"/>
        <v>280</v>
      </c>
      <c r="AN31" s="224">
        <f t="shared" si="36"/>
        <v>64</v>
      </c>
      <c r="AO31" s="225">
        <v>10</v>
      </c>
      <c r="AP31" s="225">
        <v>10</v>
      </c>
      <c r="AQ31" s="225">
        <v>10</v>
      </c>
      <c r="AR31" s="225">
        <v>10</v>
      </c>
      <c r="AS31" s="166">
        <f t="shared" si="36"/>
        <v>0</v>
      </c>
      <c r="AT31" s="166">
        <f t="shared" si="36"/>
        <v>0</v>
      </c>
      <c r="AU31" s="225"/>
      <c r="AV31" s="226"/>
      <c r="AW31" s="225"/>
      <c r="AX31" s="226"/>
      <c r="AY31" s="143">
        <f>SUBTOTAL(9,AY9:AY30)</f>
        <v>6397</v>
      </c>
      <c r="AZ31" s="144">
        <f>SUBTOTAL(9,AZ9:AZ30)</f>
        <v>14565</v>
      </c>
      <c r="BA31" s="144">
        <f>SUBTOTAL(9,BA9:BA30)</f>
        <v>13245</v>
      </c>
      <c r="BB31" s="144">
        <f>SUBTOTAL(9,BB9:BB30)</f>
        <v>7489</v>
      </c>
      <c r="BC31" s="145">
        <f>SUBTOTAL(9,BC9:BC30)</f>
        <v>2816</v>
      </c>
      <c r="BD31" s="227">
        <f>IF(ISNUMBER(BA31/AZ31),BA31/AZ31," - ")</f>
        <v>0.90937178166838306</v>
      </c>
      <c r="BE31" s="224">
        <f>IF(ISNUMBER(BB31/BA31),BB31/BA31, " - ")</f>
        <v>0.56542091355228385</v>
      </c>
      <c r="BF31" s="224">
        <f>IF(ISNUMBER(BC31/BA31),BC31/BA31, " - ")</f>
        <v>0.2126085315213288</v>
      </c>
      <c r="BG31" s="145">
        <f>IF(ISNUMBER((AY31+AZ31)/BA31),(AY31+AZ31)/BA31," - ")</f>
        <v>1.5826349565873914</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fdDWbY7264VoQh9wrwbEMdPCr1qjo5OhN1L7eWmm+kLH1ga0mkYcHfbIbLjmlyTqkU594BgXlviWrmuj8aS9w==" saltValue="gh3WPcpKp/U3Bxu3wlSR0w=="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wYhTK1A9k3jqo8wH/+lXnMqdeHPgCp6v0VPrVq3aDPdLaxhdVbnu85JHv4Y1oFnyIJItGiit5/LBLPqLkzVDQ==" saltValue="VotNdLMl4L+LSWWjD5w/F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GAVA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1</v>
      </c>
      <c r="F10" s="556">
        <f>IF(ISNUMBER(Datos!L10+Datos!K10-Datos!J10),Datos!L10+Datos!K10-Datos!J10," - ")</f>
        <v>101</v>
      </c>
      <c r="G10" s="547">
        <f>IF(ISNUMBER(Datos!I10),Datos!I10," - ")</f>
        <v>100</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26</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113</v>
      </c>
      <c r="AC10" s="551">
        <f>IF(ISNUMBER(Datos!Q10),Datos!Q10," - ")</f>
        <v>20</v>
      </c>
      <c r="AD10" s="553"/>
      <c r="AE10" s="567"/>
      <c r="AF10" s="555">
        <f>IF(ISNUMBER(Datos!L10),Datos!L10,"-")</f>
        <v>90</v>
      </c>
      <c r="AG10" s="553"/>
      <c r="AH10" s="553"/>
      <c r="AI10" s="553"/>
      <c r="AJ10" s="553"/>
      <c r="AK10" s="553"/>
      <c r="AL10" s="554"/>
      <c r="AM10" s="771">
        <f>IF(ISNUMBER(Datos!R10),Datos!R10," - ")</f>
        <v>86</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46</v>
      </c>
      <c r="BD10" s="697">
        <f>IF(ISNUMBER(Datos!N10),Datos!N10," - ")</f>
        <v>46</v>
      </c>
      <c r="BE10" s="697" t="str">
        <f>IF(ISNUMBER(Datos!BW10),Datos!BW10," - ")</f>
        <v xml:space="preserve"> - </v>
      </c>
      <c r="BF10" s="767" t="str">
        <f>IF(ISNUMBER(Datos!BX10),Datos!BX10," - ")</f>
        <v xml:space="preserve"> - </v>
      </c>
      <c r="BG10" s="768">
        <f>IF(ISNUMBER(Datos!K10/Datos!J10),Datos!K10/Datos!J10," - ")</f>
        <v>1.107843137254902</v>
      </c>
      <c r="BH10" s="769">
        <f>IF(ISNUMBER(((Datos!L10/Datos!K10)*11)/factor_trimestre),((Datos!L10/Datos!K10)*11)/factor_trimestre," - ")</f>
        <v>8.7610619469026556</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7.4999999999999997E-2</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9</v>
      </c>
      <c r="B12" s="750" t="s">
        <v>324</v>
      </c>
      <c r="C12" s="751" t="str">
        <f>Datos!A12</f>
        <v xml:space="preserve">Jdos. 1ª Instª. e Instr.                        </v>
      </c>
      <c r="D12" s="605"/>
      <c r="E12" s="553">
        <f>IF(ISNUMBER(Datos!AQ12),Datos!AQ12," - ")</f>
        <v>9</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192</v>
      </c>
      <c r="O12" s="553"/>
      <c r="P12" s="553"/>
      <c r="Q12" s="551">
        <f>IF(ISNUMBER(Datos!P12),Datos!P12,0)</f>
        <v>1844</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2466</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119</v>
      </c>
      <c r="AI12" s="553" t="str">
        <f>IF(ISNUMBER(Datos!CD12),Datos!CD12,"-")</f>
        <v>-</v>
      </c>
      <c r="AJ12" s="553" t="str">
        <f>IF(ISNUMBER(Datos!EN12),Datos!EN12," - ")</f>
        <v xml:space="preserve"> - </v>
      </c>
      <c r="AK12" s="553"/>
      <c r="AL12" s="554"/>
      <c r="AM12" s="771">
        <f>IF(ISNUMBER(Datos!R12),Datos!R12," - ")</f>
        <v>7286</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1751</v>
      </c>
      <c r="BD12" s="697">
        <f>IF(ISNUMBER(Datos!N12),Datos!N12," - ")</f>
        <v>2601</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0.93380191693290737</v>
      </c>
      <c r="BH12" s="769">
        <f>IF(ISNUMBER(((IF(J_V="SI",Datos!L12/Datos!K12,(Datos!L12+Datos!AB12)/(Datos!K12+Datos!AA12)))*11)/factor_trimestre),((IF(J_V="SI",Datos!L12/Datos!K12,(Datos!L12+Datos!AB12)/(Datos!K12+Datos!AA12)))*11)/factor_trimestre," - ")</f>
        <v>7.8040235390721229</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-7.8654527061203849E-2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10</v>
      </c>
      <c r="F14" s="1200">
        <f t="shared" si="1"/>
        <v>101</v>
      </c>
      <c r="G14" s="1200">
        <f t="shared" si="1"/>
        <v>100</v>
      </c>
      <c r="H14" s="1201">
        <f t="shared" si="1"/>
        <v>0</v>
      </c>
      <c r="I14" s="1200">
        <f t="shared" si="1"/>
        <v>0</v>
      </c>
      <c r="J14" s="1167">
        <f t="shared" si="1"/>
        <v>0</v>
      </c>
      <c r="K14" s="1167">
        <f t="shared" si="1"/>
        <v>0</v>
      </c>
      <c r="L14" s="1201">
        <f t="shared" si="1"/>
        <v>0</v>
      </c>
      <c r="M14" s="1201">
        <f t="shared" si="1"/>
        <v>0</v>
      </c>
      <c r="N14" s="1201">
        <f t="shared" si="1"/>
        <v>192</v>
      </c>
      <c r="O14" s="1202">
        <f t="shared" si="1"/>
        <v>0</v>
      </c>
      <c r="P14" s="1202">
        <f t="shared" si="1"/>
        <v>0</v>
      </c>
      <c r="Q14" s="1201">
        <f t="shared" si="1"/>
        <v>1870</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113</v>
      </c>
      <c r="AC14" s="1201">
        <f t="shared" si="2"/>
        <v>2486</v>
      </c>
      <c r="AD14" s="1201">
        <f t="shared" si="2"/>
        <v>0</v>
      </c>
      <c r="AE14" s="1201">
        <f t="shared" si="2"/>
        <v>0</v>
      </c>
      <c r="AF14" s="1201">
        <f t="shared" si="2"/>
        <v>90</v>
      </c>
      <c r="AG14" s="1201">
        <f t="shared" si="2"/>
        <v>0</v>
      </c>
      <c r="AH14" s="1201">
        <f t="shared" si="2"/>
        <v>119</v>
      </c>
      <c r="AI14" s="1201">
        <f t="shared" si="2"/>
        <v>0</v>
      </c>
      <c r="AJ14" s="1201">
        <f t="shared" si="2"/>
        <v>0</v>
      </c>
      <c r="AK14" s="1201">
        <f t="shared" si="2"/>
        <v>0</v>
      </c>
      <c r="AL14" s="1201">
        <f t="shared" si="2"/>
        <v>0</v>
      </c>
      <c r="AM14" s="1201">
        <f t="shared" si="2"/>
        <v>7372</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1797</v>
      </c>
      <c r="BD14" s="1201">
        <f t="shared" si="2"/>
        <v>2647</v>
      </c>
      <c r="BE14" s="1201">
        <f t="shared" si="2"/>
        <v>0</v>
      </c>
      <c r="BF14" s="1201">
        <f t="shared" si="2"/>
        <v>0</v>
      </c>
      <c r="BG14" s="1201">
        <f>IF(ISNUMBER(Datos!K14/Datos!J14),Datos!K14/Datos!J14," - ")</f>
        <v>0.93471234647705237</v>
      </c>
      <c r="BH14" s="1205">
        <f>IF(ISNUMBER(((Datos!L14/Datos!K14)*11)/factor_trimestre),((Datos!L14/Datos!K14)*11)/factor_trimestre," - ")</f>
        <v>7.8430152143845095</v>
      </c>
      <c r="BI14" s="1201">
        <f>IF(ISNUMBER('Resol  Asuntos'!D14/NºAsuntos!G14),'Resol  Asuntos'!D14/NºAsuntos!G14," - ")</f>
        <v>0.24218328840970352</v>
      </c>
      <c r="BJ14" s="1201" t="str">
        <f>IF(ISNUMBER(Datos!CI14/Datos!CJ14),Datos!CI14/Datos!CJ14," - ")</f>
        <v xml:space="preserve"> - </v>
      </c>
      <c r="BK14" s="1201">
        <f>SUBTOTAL(9,BK8:BK13)</f>
        <v>0</v>
      </c>
      <c r="BL14" s="1201">
        <f>IF(ISNUMBER((I14-AB14+L14)/(F14)),(I14-AB14+L14)/(F14)," - ")</f>
        <v>-1.1188118811881189</v>
      </c>
      <c r="BM14" s="1206">
        <f>SUBTOTAL(9,BM9:BM13)</f>
        <v>-3.6545270612038522E-3</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9</v>
      </c>
      <c r="B17" s="741" t="s">
        <v>515</v>
      </c>
      <c r="C17" s="754" t="str">
        <f>Datos!A17</f>
        <v xml:space="preserve">Jdos. 1ª Instª. e Instr.                        </v>
      </c>
      <c r="D17" s="755"/>
      <c r="E17" s="746">
        <f>IF(ISNUMBER(Datos!AQ17),Datos!AQ17," - ")</f>
        <v>9</v>
      </c>
      <c r="F17" s="744">
        <f>IF(ISNUMBER(AF17+AB17-Datos!J17-L17),AF17+AB17-Datos!J17-L17," - ")</f>
        <v>2327</v>
      </c>
      <c r="G17" s="747">
        <f>IF(ISNUMBER(IF(D_I="SI",Datos!I17,Datos!I17+Datos!AC17)),IF(D_I="SI",Datos!I17,Datos!I17+Datos!AC17)," - ")</f>
        <v>2503</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386</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8307</v>
      </c>
      <c r="AC17" s="240">
        <f>IF(ISNUMBER(Datos!Q17),Datos!Q17," - ")</f>
        <v>429</v>
      </c>
      <c r="AD17" s="374"/>
      <c r="AE17" s="566"/>
      <c r="AF17" s="745">
        <f>IF(ISNUMBER(IF(D_I="SI",Datos!L17,Datos!L17+Datos!AF17)),IF(D_I="SI",Datos!L17,Datos!L17+Datos!AF17)," - ")</f>
        <v>2394</v>
      </c>
      <c r="AG17" s="374"/>
      <c r="AH17" s="374"/>
      <c r="AI17" s="374"/>
      <c r="AJ17" s="553"/>
      <c r="AK17" s="374"/>
      <c r="AL17" s="549"/>
      <c r="AM17" s="375">
        <f>IF(ISNUMBER(Datos!R17),Datos!R17," - ")</f>
        <v>346</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1055</v>
      </c>
      <c r="BD17" s="243">
        <f>IF(ISNUMBER(Datos!N17),Datos!N17," - ")</f>
        <v>5391</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0.99199904466204925</v>
      </c>
      <c r="BH17" s="769">
        <f>IF(ISNUMBER(((IF(D_I="SI",Datos!L17/Datos!K17,(Datos!L17+Datos!AF17)/(Datos!K17+Datos!AE17)))*11)/factor_trimestre),((IF(D_I="SI",Datos!L17/Datos!K17,(Datos!L17+Datos!AF17)/(Datos!K17+Datos!AE17)))*11)/factor_trimestre," - ")</f>
        <v>3.1700975081256773</v>
      </c>
      <c r="BI17" s="266">
        <f>IF(ISNUMBER('Resol  Asuntos'!D17/NºAsuntos!G17),'Resol  Asuntos'!D17/NºAsuntos!G17," - ")</f>
        <v>0.12700132418442278</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226</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10</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610</v>
      </c>
      <c r="AC18" s="551">
        <f>IF(ISNUMBER(Datos!Q18),Datos!Q18," - ")</f>
        <v>4</v>
      </c>
      <c r="AD18" s="553"/>
      <c r="AE18" s="566"/>
      <c r="AF18" s="555">
        <f>IF(ISNUMBER(Datos!L18),Datos!L18,"-")</f>
        <v>274</v>
      </c>
      <c r="AG18" s="553"/>
      <c r="AH18" s="553"/>
      <c r="AI18" s="553"/>
      <c r="AJ18" s="553"/>
      <c r="AK18" s="553"/>
      <c r="AL18" s="554"/>
      <c r="AM18" s="771">
        <f>IF(ISNUMBER(Datos!R18),Datos!R18," - ")</f>
        <v>12</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22</v>
      </c>
      <c r="BD18" s="697">
        <f>IF(ISNUMBER(Datos!N18),Datos!N18," - ")</f>
        <v>336</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0.92705167173252279</v>
      </c>
      <c r="BH18" s="769">
        <f>IF(ISNUMBER(((IF(D_I="SI",Datos!L18/Datos!K18,(Datos!L18+Datos!AF18)/(Datos!K18+Datos!AE18)))*11)/factor_trimestre),((IF(D_I="SI",Datos!L18/Datos!K18,(Datos!L18+Datos!AF18)/(Datos!K18+Datos!AE18)))*11)/factor_trimestre," - ")</f>
        <v>4.9409836065573769</v>
      </c>
      <c r="BI18" s="768">
        <f>IF(ISNUMBER('Resol  Asuntos'!D18/NºAsuntos!G18),'Resol  Asuntos'!D18/NºAsuntos!G18," - ")</f>
        <v>3.6065573770491806E-2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10</v>
      </c>
      <c r="F23" s="1200">
        <f>SUBTOTAL(9,F16:F22)</f>
        <v>2327</v>
      </c>
      <c r="G23" s="1200">
        <f>SUBTOTAL(9,G16:G22)</f>
        <v>2729</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396</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8917</v>
      </c>
      <c r="AC23" s="1201">
        <f t="shared" si="5"/>
        <v>433</v>
      </c>
      <c r="AD23" s="1201">
        <f t="shared" si="5"/>
        <v>0</v>
      </c>
      <c r="AE23" s="1201">
        <f t="shared" si="5"/>
        <v>0</v>
      </c>
      <c r="AF23" s="1201">
        <f t="shared" si="5"/>
        <v>2668</v>
      </c>
      <c r="AG23" s="1201">
        <f t="shared" si="5"/>
        <v>0</v>
      </c>
      <c r="AH23" s="1201">
        <f t="shared" si="5"/>
        <v>0</v>
      </c>
      <c r="AI23" s="1201">
        <f t="shared" si="5"/>
        <v>0</v>
      </c>
      <c r="AJ23" s="1201">
        <f t="shared" si="5"/>
        <v>0</v>
      </c>
      <c r="AK23" s="1201">
        <f t="shared" si="5"/>
        <v>0</v>
      </c>
      <c r="AL23" s="1201">
        <f t="shared" si="5"/>
        <v>0</v>
      </c>
      <c r="AM23" s="1201">
        <f t="shared" si="5"/>
        <v>358</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1077</v>
      </c>
      <c r="BD23" s="1201">
        <f t="shared" si="5"/>
        <v>5727</v>
      </c>
      <c r="BE23" s="1201">
        <f t="shared" si="5"/>
        <v>0</v>
      </c>
      <c r="BF23" s="1201">
        <f t="shared" si="5"/>
        <v>0</v>
      </c>
      <c r="BG23" s="1201">
        <f>IF(ISNUMBER(Datos!K23/Datos!J23),Datos!K23/Datos!J23," - ")</f>
        <v>0.98726749335695307</v>
      </c>
      <c r="BH23" s="1205">
        <f>IF(ISNUMBER(((Datos!L23/Datos!K23)*11)/factor_trimestre),((Datos!L23/Datos!K23)*11)/factor_trimestre," - ")</f>
        <v>3.2912414489177975</v>
      </c>
      <c r="BI23" s="1201">
        <f>SUBTOTAL(9,BI16:BI22)</f>
        <v>0.16306689795491458</v>
      </c>
      <c r="BJ23" s="1201">
        <f>SUBTOTAL(9,BJ16:BJ22)</f>
        <v>0</v>
      </c>
      <c r="BK23" s="1201">
        <f>SUBTOTAL(9,BK16:BK22)</f>
        <v>0</v>
      </c>
      <c r="BL23" s="1201">
        <f>IF(ISNUMBER((I23-AB23+L23)/(F23)),(I23-AB23+L23)/(F23)," - ")</f>
        <v>-3.8319724967769662</v>
      </c>
      <c r="BM23" s="1208">
        <f>IF(ISNUMBER((Datos!P23-Datos!Q23)/(Datos!R23-Datos!P23+Datos!Q23)),(Datos!P23-Datos!Q23)/(Datos!R23-Datos!P23+Datos!Q23)," - ")</f>
        <v>-9.3670886075949367E-2</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20</v>
      </c>
      <c r="F31" s="1120">
        <f t="shared" si="16"/>
        <v>2428</v>
      </c>
      <c r="G31" s="1120">
        <f t="shared" si="16"/>
        <v>2829</v>
      </c>
      <c r="H31" s="1122">
        <f t="shared" si="16"/>
        <v>0</v>
      </c>
      <c r="I31" s="1120">
        <f t="shared" si="16"/>
        <v>0</v>
      </c>
      <c r="J31" s="1122">
        <f t="shared" si="16"/>
        <v>0</v>
      </c>
      <c r="K31" s="1122">
        <f t="shared" si="16"/>
        <v>0</v>
      </c>
      <c r="L31" s="1183">
        <f t="shared" si="16"/>
        <v>0</v>
      </c>
      <c r="M31" s="1183">
        <f t="shared" si="16"/>
        <v>0</v>
      </c>
      <c r="N31" s="1183">
        <f t="shared" si="16"/>
        <v>192</v>
      </c>
      <c r="O31" s="1183">
        <f t="shared" si="16"/>
        <v>0</v>
      </c>
      <c r="P31" s="1183">
        <f t="shared" si="16"/>
        <v>0</v>
      </c>
      <c r="Q31" s="1122">
        <f t="shared" si="16"/>
        <v>2266</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9030</v>
      </c>
      <c r="AC31" s="1121">
        <f t="shared" si="17"/>
        <v>2919</v>
      </c>
      <c r="AD31" s="1121">
        <f t="shared" si="17"/>
        <v>0</v>
      </c>
      <c r="AE31" s="1121">
        <f t="shared" si="17"/>
        <v>0</v>
      </c>
      <c r="AF31" s="1128">
        <f t="shared" si="17"/>
        <v>2758</v>
      </c>
      <c r="AG31" s="1128">
        <f t="shared" si="17"/>
        <v>0</v>
      </c>
      <c r="AH31" s="1128">
        <f t="shared" si="17"/>
        <v>119</v>
      </c>
      <c r="AI31" s="1128">
        <f t="shared" si="17"/>
        <v>0</v>
      </c>
      <c r="AJ31" s="1121">
        <f t="shared" si="17"/>
        <v>0</v>
      </c>
      <c r="AK31" s="1128">
        <f t="shared" si="17"/>
        <v>0</v>
      </c>
      <c r="AL31" s="1128">
        <f t="shared" si="17"/>
        <v>0</v>
      </c>
      <c r="AM31" s="1128">
        <f t="shared" si="17"/>
        <v>7730</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2874</v>
      </c>
      <c r="BD31" s="1120">
        <f t="shared" si="17"/>
        <v>8374</v>
      </c>
      <c r="BE31" s="1120">
        <f t="shared" si="17"/>
        <v>0</v>
      </c>
      <c r="BF31" s="1130">
        <f t="shared" si="17"/>
        <v>0</v>
      </c>
      <c r="BG31" s="1227">
        <f>IF(ISNUMBER(Datos!K31/Datos!J31),Datos!K31/Datos!J31," - ")</f>
        <v>0.96302260392437522</v>
      </c>
      <c r="BH31" s="1227">
        <f>IF(ISNUMBER(((Datos!L31/Datos!K31)*11)/factor_trimestre),((Datos!L31/Datos!K31)*11)/factor_trimestre," - ")</f>
        <v>5.3293491050969219</v>
      </c>
      <c r="BI31" s="1106">
        <f>IF(ISNUMBER(Datos!J31/Datos!I31),Datos!J31/Datos!I31," - ")</f>
        <v>2.2744167118827998</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-3.7191103789126854</v>
      </c>
      <c r="BM31" s="1191">
        <f>IF(ISNUMBER((Datos!P31-Datos!Q31+R31)/(Datos!R31-Datos!P31+Datos!Q31-R31)),(Datos!P31-Datos!Q31+R31)/(Datos!R31-Datos!P31+Datos!Q31-R31)," - ")</f>
        <v>-7.7895741381367054E-2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808.28571428571433</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3.9425701831575308</v>
      </c>
      <c r="F33" s="677">
        <f>IF(ISNUMBER(STDEV(F8:F30)),STDEV(F8:F30),"-")</f>
        <v>1176.4469672138505</v>
      </c>
      <c r="G33" s="678">
        <f>IF(ISNUMBER(STDEV(G8:G30)),STDEV(G8:G30),"-")</f>
        <v>1238.9676770448473</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4129.6080524266063</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796.49464171814384</v>
      </c>
      <c r="BD33" s="677"/>
      <c r="BE33" s="677">
        <f>IF(ISNUMBER(STDEV(BE8:BE30)),STDEV(BE8:BE30),"-")</f>
        <v>0</v>
      </c>
      <c r="BF33" s="682">
        <f>IF(ISNUMBER(STDEV(BF8:BF30)),STDEV(BF8:BF30),"-")</f>
        <v>0</v>
      </c>
      <c r="BG33" s="1055">
        <f>IF(ISNUMBER(STDEV(BG8:BG30)),STDEV(BG8:BG30),"-")</f>
        <v>6.8597708466337684E-2</v>
      </c>
      <c r="BH33" s="1061">
        <f>IF(ISNUMBER(STDEV(BH8:BH30)),STDEV(BH8:BH30),"-")</f>
        <v>2.4793513634804918</v>
      </c>
      <c r="BI33" s="273">
        <f>IF(ISNUMBER(STDEV(BI8:BI30)),STDEV(BI8:BI30),"-")</f>
        <v>8.5493748830356209E-2</v>
      </c>
      <c r="BJ33" s="244" t="str">
        <f>IF(ISNUMBER(BL33/BM33),BL33/BM33," - ")</f>
        <v xml:space="preserve"> - </v>
      </c>
      <c r="BK33" s="713"/>
      <c r="BL33" s="685">
        <f>IF(ISNUMBER(STDEV(BL8:BL30)),STDEV(BL8:BL30),"-")</f>
        <v>1.9184942697311407</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bJtKnhIZzMY7NtgRRgv68AZurqK3FnhTGotWNYb3o0oKlt7YpEdWPFNxCP0m6x6wSuhzSDydIjSkd9EPrj99bQ==" saltValue="IP71BUUJV3b3ms2a5EQAOw=="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GAVA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1</v>
      </c>
      <c r="F10" s="556">
        <f>IF(ISNUMBER(Datos!L10+Datos!K10-Datos!J10),Datos!L10+Datos!K10-Datos!J10," - ")</f>
        <v>101</v>
      </c>
      <c r="G10" s="556">
        <f>IF(ISNUMBER(Datos!I10),Datos!I10," - ")</f>
        <v>100</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26</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113</v>
      </c>
      <c r="Z10" s="810">
        <f>IF(ISNUMBER(Datos!Q10),Datos!Q10," - ")</f>
        <v>20</v>
      </c>
      <c r="AA10" s="555">
        <f>IF(ISNUMBER(Datos!L10),Datos!L10,"-")</f>
        <v>90</v>
      </c>
      <c r="AB10" s="553"/>
      <c r="AC10" s="553"/>
      <c r="AD10" s="567"/>
      <c r="AE10" s="567">
        <f>IF(ISNUMBER(Datos!R10),Datos!R10," - ")</f>
        <v>86</v>
      </c>
      <c r="AF10" s="697" t="str">
        <f>IF(ISNUMBER(Datos!BV10),Datos!BV10," - ")</f>
        <v xml:space="preserve"> - </v>
      </c>
      <c r="AG10" s="556" t="str">
        <f>IF(ISNUMBER(Datos!DV10),Datos!DV10," - ")</f>
        <v xml:space="preserve"> - </v>
      </c>
      <c r="AH10" s="557"/>
      <c r="AI10" s="558"/>
      <c r="AJ10" s="556">
        <f>IF(ISNUMBER(Datos!M10),Datos!M10," - ")</f>
        <v>46</v>
      </c>
      <c r="AK10" s="697">
        <f>IF(ISNUMBER(Datos!N10),Datos!N10," - ")</f>
        <v>46</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8.7610619469026556</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7.4999999999999997E-2</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9</v>
      </c>
      <c r="B12" s="750" t="s">
        <v>324</v>
      </c>
      <c r="C12" s="751" t="str">
        <f>Datos!A12</f>
        <v xml:space="preserve">Jdos. 1ª Instª. e Instr.                        </v>
      </c>
      <c r="D12" s="605"/>
      <c r="E12" s="752">
        <f>IF(ISNUMBER(Datos!AQ12),Datos!AQ12," - ")</f>
        <v>9</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1844</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2466</v>
      </c>
      <c r="AA12" s="555" t="str">
        <f>IF(ISNUMBER(IF(J_V="SI",Datos!L12,Datos!L12+Datos!AB12)-IF(Monitorios="SI",Datos!CD12,0)),
                          IF(J_V="SI",Datos!L12,Datos!L12+Datos!AB12)-IF(Monitorios="SI",Datos!CD12,0),
                          " - ")</f>
        <v xml:space="preserve"> - </v>
      </c>
      <c r="AB12" s="553"/>
      <c r="AC12" s="553"/>
      <c r="AD12" s="567"/>
      <c r="AE12" s="567">
        <f>IF(ISNUMBER(Datos!R12),Datos!R12," - ")</f>
        <v>7286</v>
      </c>
      <c r="AF12" s="697" t="str">
        <f>IF(ISNUMBER(Datos!BV12),Datos!BV12," - ")</f>
        <v xml:space="preserve"> - </v>
      </c>
      <c r="AG12" s="556" t="str">
        <f>IF(ISNUMBER(Datos!DV12),Datos!DV12," - ")</f>
        <v xml:space="preserve"> - </v>
      </c>
      <c r="AH12" s="557"/>
      <c r="AI12" s="558"/>
      <c r="AJ12" s="556">
        <f>IF(ISNUMBER(Datos!M12),Datos!M12," - ")</f>
        <v>1751</v>
      </c>
      <c r="AK12" s="697">
        <f>IF(ISNUMBER(Datos!N12),Datos!N12," - ")</f>
        <v>2601</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7.8040235390721229</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-7.8654527061203849E-2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10</v>
      </c>
      <c r="F14" s="1200">
        <f>SUBTOTAL(9,F8:F13)</f>
        <v>101</v>
      </c>
      <c r="G14" s="1200">
        <f>SUBTOTAL(9,G8:G13)</f>
        <v>100</v>
      </c>
      <c r="H14" s="1214"/>
      <c r="I14" s="1200">
        <f t="shared" ref="I14:N14" si="1">SUBTOTAL(9,I8:I13)</f>
        <v>0</v>
      </c>
      <c r="J14" s="1167">
        <f t="shared" si="1"/>
        <v>0</v>
      </c>
      <c r="K14" s="1214">
        <f t="shared" si="1"/>
        <v>0</v>
      </c>
      <c r="L14" s="1214">
        <f t="shared" si="1"/>
        <v>0</v>
      </c>
      <c r="M14" s="1214">
        <f t="shared" si="1"/>
        <v>0</v>
      </c>
      <c r="N14" s="1214">
        <f t="shared" si="1"/>
        <v>1870</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113</v>
      </c>
      <c r="Z14" s="1213">
        <f t="shared" si="3"/>
        <v>2486</v>
      </c>
      <c r="AA14" s="1202">
        <f t="shared" si="3"/>
        <v>90</v>
      </c>
      <c r="AB14" s="1202">
        <f t="shared" si="3"/>
        <v>0</v>
      </c>
      <c r="AC14" s="1202">
        <f t="shared" si="3"/>
        <v>0</v>
      </c>
      <c r="AD14" s="1202">
        <f t="shared" si="3"/>
        <v>0</v>
      </c>
      <c r="AE14" s="1202">
        <f t="shared" si="3"/>
        <v>7372</v>
      </c>
      <c r="AF14" s="1214">
        <f t="shared" si="3"/>
        <v>0</v>
      </c>
      <c r="AG14" s="1214">
        <f t="shared" si="3"/>
        <v>0</v>
      </c>
      <c r="AH14" s="1214">
        <f t="shared" si="3"/>
        <v>0</v>
      </c>
      <c r="AI14" s="1214">
        <f t="shared" si="3"/>
        <v>0</v>
      </c>
      <c r="AJ14" s="1214">
        <f t="shared" si="3"/>
        <v>1797</v>
      </c>
      <c r="AK14" s="1214">
        <f t="shared" si="3"/>
        <v>2647</v>
      </c>
      <c r="AL14" s="1214">
        <f t="shared" si="3"/>
        <v>0</v>
      </c>
      <c r="AM14" s="1214">
        <f t="shared" si="3"/>
        <v>0</v>
      </c>
      <c r="AN14" s="1214">
        <f t="shared" si="3"/>
        <v>0</v>
      </c>
      <c r="AO14" s="1206">
        <f>IF(ISNUMBER(((NºAsuntos!I14/NºAsuntos!G14)*11)/factor_trimestre),((NºAsuntos!I14/NºAsuntos!G14)*11)/factor_trimestre," - ")</f>
        <v>7.8185983827493262</v>
      </c>
      <c r="AP14" s="1216" t="str">
        <f>IF(ISNUMBER(Datos!CI14/Datos!CJ14),Datos!CI14/Datos!CJ14," - ")</f>
        <v xml:space="preserve"> - </v>
      </c>
      <c r="AQ14" s="1240">
        <f>SUBTOTAL(9,AQ9:AQ13)</f>
        <v>0</v>
      </c>
      <c r="AR14" s="1240">
        <f>SUBTOTAL(9,AR9:AR13)</f>
        <v>-3.6545270612038522E-3</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9</v>
      </c>
      <c r="B17" s="750" t="s">
        <v>515</v>
      </c>
      <c r="C17" s="770" t="str">
        <f>Datos!A17</f>
        <v xml:space="preserve">Jdos. 1ª Instª. e Instr.                        </v>
      </c>
      <c r="D17" s="597"/>
      <c r="E17" s="752">
        <f>IF(ISNUMBER(Datos!AQ17),Datos!AQ17," - ")</f>
        <v>9</v>
      </c>
      <c r="F17" s="547">
        <f>IF(ISNUMBER(AA17+Y17-Datos!J17-K16),AA17+Y17-Datos!J17-K16," - ")</f>
        <v>2327</v>
      </c>
      <c r="G17" s="556">
        <f>IF(ISNUMBER(IF(D_I="SI",Datos!I17,Datos!I17+Datos!AC17)),IF(D_I="SI",Datos!I17,Datos!I17+Datos!AC17)," - ")</f>
        <v>2503</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386</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8307</v>
      </c>
      <c r="Z17" s="810">
        <f>IF(ISNUMBER(Datos!Q17),Datos!Q17," - ")</f>
        <v>429</v>
      </c>
      <c r="AA17" s="555">
        <f>IF(ISNUMBER(IF(D_I="SI",Datos!L17,Datos!L17+Datos!AF17)),IF(D_I="SI",Datos!L17,Datos!L17+Datos!AF17)," - ")</f>
        <v>2394</v>
      </c>
      <c r="AB17" s="553"/>
      <c r="AC17" s="553"/>
      <c r="AD17" s="567"/>
      <c r="AE17" s="567">
        <f>IF(ISNUMBER(Datos!R17),Datos!R17," - ")</f>
        <v>346</v>
      </c>
      <c r="AF17" s="697" t="str">
        <f>IF(ISNUMBER(Datos!BV17),Datos!BV17," - ")</f>
        <v xml:space="preserve"> - </v>
      </c>
      <c r="AG17" s="556"/>
      <c r="AH17" s="557"/>
      <c r="AI17" s="558"/>
      <c r="AJ17" s="556">
        <f>IF(ISNUMBER(Datos!M17),Datos!M17," - ")</f>
        <v>1055</v>
      </c>
      <c r="AK17" s="697">
        <f>IF(ISNUMBER(Datos!N17),Datos!N17," - ")</f>
        <v>5391</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3.1700975081256773</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226</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10</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610</v>
      </c>
      <c r="Z18" s="810">
        <f>IF(ISNUMBER(Datos!Q18),Datos!Q18," - ")</f>
        <v>4</v>
      </c>
      <c r="AA18" s="555">
        <f>IF(ISNUMBER(Datos!L18),Datos!L18,"-")</f>
        <v>274</v>
      </c>
      <c r="AB18" s="553"/>
      <c r="AC18" s="553"/>
      <c r="AD18" s="567"/>
      <c r="AE18" s="567">
        <f>IF(ISNUMBER(Datos!R18),Datos!R18," - ")</f>
        <v>12</v>
      </c>
      <c r="AF18" s="697" t="str">
        <f>IF(ISNUMBER(Datos!BV18),Datos!BV18," - ")</f>
        <v xml:space="preserve"> - </v>
      </c>
      <c r="AG18" s="556" t="str">
        <f>IF(ISNUMBER(Datos!DV18),Datos!DV18," - ")</f>
        <v xml:space="preserve"> - </v>
      </c>
      <c r="AH18" s="557"/>
      <c r="AI18" s="558"/>
      <c r="AJ18" s="556">
        <f>IF(ISNUMBER(Datos!M18),Datos!M18," - ")</f>
        <v>22</v>
      </c>
      <c r="AK18" s="697">
        <f>IF(ISNUMBER(Datos!N18),Datos!N18," - ")</f>
        <v>336</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4.9409836065573769</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10</v>
      </c>
      <c r="F23" s="1200">
        <f>SUBTOTAL(9,F16:F22)</f>
        <v>2327</v>
      </c>
      <c r="G23" s="1200">
        <f>SUBTOTAL(9,G16:G22)</f>
        <v>2729</v>
      </c>
      <c r="H23" s="1245">
        <f>SUBTOTAL(9,H16:H22)</f>
        <v>0</v>
      </c>
      <c r="I23" s="1220">
        <f>SUBTOTAL(9,I16:I22)</f>
        <v>0</v>
      </c>
      <c r="J23" s="1167">
        <f>SUBTOTAL(9,J15:J22)</f>
        <v>0</v>
      </c>
      <c r="K23" s="1245">
        <f t="shared" ref="K23:S23" si="4">SUBTOTAL(9,K16:K22)</f>
        <v>0</v>
      </c>
      <c r="L23" s="1245">
        <f t="shared" si="4"/>
        <v>0</v>
      </c>
      <c r="M23" s="1245">
        <f t="shared" si="4"/>
        <v>0</v>
      </c>
      <c r="N23" s="1245">
        <f t="shared" si="4"/>
        <v>396</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8917</v>
      </c>
      <c r="Z23" s="1245">
        <f t="shared" si="5"/>
        <v>433</v>
      </c>
      <c r="AA23" s="1245">
        <f t="shared" si="5"/>
        <v>2668</v>
      </c>
      <c r="AB23" s="1245">
        <f t="shared" si="5"/>
        <v>0</v>
      </c>
      <c r="AC23" s="1245">
        <f t="shared" si="5"/>
        <v>0</v>
      </c>
      <c r="AD23" s="1245">
        <f t="shared" si="5"/>
        <v>0</v>
      </c>
      <c r="AE23" s="1245">
        <f t="shared" si="5"/>
        <v>358</v>
      </c>
      <c r="AF23" s="1245">
        <f t="shared" si="5"/>
        <v>0</v>
      </c>
      <c r="AG23" s="1245">
        <f t="shared" si="5"/>
        <v>0</v>
      </c>
      <c r="AH23" s="1245">
        <f t="shared" si="5"/>
        <v>0</v>
      </c>
      <c r="AI23" s="1245">
        <f t="shared" si="5"/>
        <v>0</v>
      </c>
      <c r="AJ23" s="1245">
        <f t="shared" si="5"/>
        <v>1077</v>
      </c>
      <c r="AK23" s="1245">
        <f t="shared" si="5"/>
        <v>5727</v>
      </c>
      <c r="AL23" s="1245">
        <f t="shared" si="5"/>
        <v>0</v>
      </c>
      <c r="AM23" s="1245">
        <f t="shared" si="5"/>
        <v>0</v>
      </c>
      <c r="AN23" s="1245">
        <f t="shared" si="5"/>
        <v>0</v>
      </c>
      <c r="AO23" s="1247">
        <f>IF(ISNUMBER(((NºAsuntos!I23/NºAsuntos!G23)*11)/factor_trimestre),((NºAsuntos!I23/NºAsuntos!G23)*11)/factor_trimestre," - ")</f>
        <v>3.2912414489177975</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20</v>
      </c>
      <c r="F31" s="1120">
        <f t="shared" si="10"/>
        <v>2428</v>
      </c>
      <c r="G31" s="1120">
        <f t="shared" si="10"/>
        <v>2829</v>
      </c>
      <c r="H31" s="1121">
        <f t="shared" si="10"/>
        <v>0</v>
      </c>
      <c r="I31" s="1120">
        <f t="shared" si="10"/>
        <v>0</v>
      </c>
      <c r="J31" s="1122">
        <f t="shared" si="10"/>
        <v>0</v>
      </c>
      <c r="K31" s="1120">
        <f t="shared" si="10"/>
        <v>0</v>
      </c>
      <c r="L31" s="1123">
        <f t="shared" si="10"/>
        <v>0</v>
      </c>
      <c r="M31" s="1120">
        <f t="shared" si="10"/>
        <v>0</v>
      </c>
      <c r="N31" s="1121">
        <f t="shared" si="10"/>
        <v>2266</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9030</v>
      </c>
      <c r="Z31" s="1127">
        <f t="shared" si="11"/>
        <v>2919</v>
      </c>
      <c r="AA31" s="1128">
        <f t="shared" si="11"/>
        <v>2758</v>
      </c>
      <c r="AB31" s="1128">
        <f t="shared" si="11"/>
        <v>0</v>
      </c>
      <c r="AC31" s="1128">
        <f t="shared" si="11"/>
        <v>0</v>
      </c>
      <c r="AD31" s="1129">
        <f t="shared" si="11"/>
        <v>0</v>
      </c>
      <c r="AE31" s="1129">
        <f t="shared" si="11"/>
        <v>7730</v>
      </c>
      <c r="AF31" s="1130">
        <f t="shared" si="11"/>
        <v>0</v>
      </c>
      <c r="AG31" s="1131">
        <f t="shared" si="11"/>
        <v>0</v>
      </c>
      <c r="AH31" s="1132">
        <f t="shared" si="11"/>
        <v>0</v>
      </c>
      <c r="AI31" s="1130">
        <f t="shared" si="11"/>
        <v>0</v>
      </c>
      <c r="AJ31" s="1120">
        <f t="shared" si="11"/>
        <v>2874</v>
      </c>
      <c r="AK31" s="1120">
        <f t="shared" si="11"/>
        <v>8374</v>
      </c>
      <c r="AL31" s="1120">
        <f t="shared" si="11"/>
        <v>0</v>
      </c>
      <c r="AM31" s="1133">
        <f t="shared" si="11"/>
        <v>0</v>
      </c>
      <c r="AN31" s="1123">
        <f>IF(ISNUMBER(Datos!K31/Datos!J31),Datos!K31/Datos!J31," - ")</f>
        <v>0.96302260392437522</v>
      </c>
      <c r="AO31" s="1123">
        <f>IF(ISNUMBER(FIND("06",Criterios!A8,1)),(IF(ISNUMBER(((Datos!R31/Datos!Q31)*11)/factor_trimestre),((Datos!R31/Datos!Q31)*11)/factor_trimestre," - ")),(IF(ISNUMBER(((Datos!L31/Datos!K31)*11)/factor_trimestre),((Datos!L31/Datos!K31)*11)/factor_trimestre," - ")))</f>
        <v>5.3293491050969219</v>
      </c>
      <c r="AP31" s="1134" t="str">
        <f>IF(ISNUMBER(Datos!CI31/Datos!CJ31),Datos!CI31/Datos!CJ31," - ")</f>
        <v xml:space="preserve"> - </v>
      </c>
      <c r="AQ31" s="1134">
        <f>IF(OR(ISNUMBER(FIND("01",Criterios!A8,1)),ISNUMBER(FIND("02",Criterios!A8,1)),ISNUMBER(FIND("03",Criterios!A8,1)),ISNUMBER(FIND("04",Criterios!A8,1))),(J31-Y31+K31)/(F31-K31),(I31-Y31+K31)/(F31-K31))</f>
        <v>-3.7191103789126854</v>
      </c>
      <c r="AR31" s="1134">
        <f>IF(ISNUMBER((Datos!P31-Datos!Q31+O31)/(Datos!R31-Datos!P31+Datos!Q31-O31)),(Datos!P31-Datos!Q31+O31)/(Datos!R31-Datos!P31+Datos!Q31-O31)," - ")</f>
        <v>-7.7895741381367054E-2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808.28571428571433</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1176.4469672138505</v>
      </c>
      <c r="G33" s="678">
        <f>IF(ISNUMBER(STDEV(G8:G30)),STDEV(G8:G30),"-")</f>
        <v>1238.9676770448473</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796.49464171814384</v>
      </c>
      <c r="AK33" s="276"/>
      <c r="AL33" s="276">
        <f>IF(ISNUMBER(STDEV(AL8:AL30)),STDEV(AL8:AL30),"-")</f>
        <v>0</v>
      </c>
      <c r="AM33" s="278">
        <f>IF(ISNUMBER(STDEV(AM8:AM30)),STDEV(AM8:AM30),"-")</f>
        <v>0</v>
      </c>
      <c r="AN33" s="664">
        <f>IF(ISNUMBER(STDEV(AN8:AN30)),STDEV(AN8:AN30),"-")</f>
        <v>0</v>
      </c>
      <c r="AO33" s="665">
        <f>IF(ISNUMBER(STDEV(AO8:AO30)),STDEV(AO8:AO30),"-")</f>
        <v>2.475676416546476</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wU6CR1rxVucTRRTqNpPFa9rj2hhzwiMWDtsdz0Q4lYTtaFCdgU1y7Gi1NRiXTP+8bltYkzHS/f6tUotje+2uQA==" saltValue="pGW9zRAyu0nPsjFwSs7kn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e4snPEALCPAydu5j/UUpNE7i0lZwcj6FG+vMfYM6ei4V+kNWn+PhKpJiOW4x+AROXG7okgTYkqWCvVpQnweEHg==" saltValue="IY9jqfKXhntbP32Wisab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JP7NfVT96LhzqPzPpQFOeXlX1eXGQbmG3FLtv3k6ti3SbENRW+s0C219Xri7Lhz0VUEWZIgoNIq95T5pHquFw==" saltValue="4jhJBlY0AXCIp95SVv6AV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GAVA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0.24218328840970352</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0.17124944552455876</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bu1fQUA1CLUI4vjEb170CGF5lgyV8drQveSsZ012s9Mf3hgBBRSYA214n6kgjpDYqwEV28L9M9uCzTHnvZupAw==" saltValue="Ir20buOScbXFHKD8Aq/DfQ=="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5ojHvTNSaz7w788GbUlob/OWFcP78RySm8GArEo7IOBNOuOualTe3Ys/XNjtycrMDk9cF1oe22pWtqEJl5SXMg==" saltValue="uAp+u0CqMz2w/s4UEEDz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GAVA</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100</v>
      </c>
      <c r="D10" s="453">
        <f>IF(ISNUMBER(C10/Datos!BH10),C10/Datos!BH10," - ")</f>
        <v>100</v>
      </c>
      <c r="E10" s="452">
        <f>IF(ISNUMBER(Datos!J10),Datos!J10," - ")</f>
        <v>102</v>
      </c>
      <c r="F10" s="453">
        <f>IF(ISNUMBER(E10/B10),E10/B10," - ")</f>
        <v>102</v>
      </c>
      <c r="G10" s="452">
        <f>IF(ISNUMBER(Datos!K10),Datos!K10," - ")</f>
        <v>113</v>
      </c>
      <c r="H10" s="453">
        <f>IF(ISNUMBER(G10/B10),G10/B10," - ")</f>
        <v>113</v>
      </c>
      <c r="I10" s="452">
        <f>IF(ISNUMBER(Datos!L10),Datos!L10," - ")</f>
        <v>90</v>
      </c>
      <c r="J10" s="453">
        <f>IF(ISNUMBER(I10/B10),I10/B10," - ")</f>
        <v>90</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9</v>
      </c>
      <c r="C12" s="452">
        <f>IF(ISNUMBER(IF(J_V="SI",Datos!I12,Datos!I12+Datos!Y12)),IF(J_V="SI",Datos!I12,Datos!I12+Datos!Y12)," - ")</f>
        <v>4660</v>
      </c>
      <c r="D12" s="453">
        <f>IF(ISNUMBER(C12/Datos!BH12),C12/Datos!BH12," - ")</f>
        <v>517.77777777777783</v>
      </c>
      <c r="E12" s="452">
        <f>IF(ISNUMBER(IF(J_V="SI",Datos!J12,Datos!J12+Datos!Z12)),IF(J_V="SI",Datos!J12,Datos!J12+Datos!Z12)," - ")</f>
        <v>7825</v>
      </c>
      <c r="F12" s="453">
        <f>IF(ISNUMBER(E12/B12),E12/B12," - ")</f>
        <v>869.44444444444446</v>
      </c>
      <c r="G12" s="452">
        <f>IF(ISNUMBER(IF(J_V="SI",Datos!K12,Datos!K12+Datos!AA12)),IF(J_V="SI",Datos!K12,Datos!K12+Datos!AA12)," - ")</f>
        <v>7307</v>
      </c>
      <c r="H12" s="453">
        <f>IF(ISNUMBER(G12/B12),G12/B12," - ")</f>
        <v>811.88888888888891</v>
      </c>
      <c r="I12" s="452">
        <f>IF(ISNUMBER(IF(J_V="SI",Datos!L12,Datos!L12+Datos!AB12)),IF(J_V="SI",Datos!L12,Datos!L12+Datos!AB12)," - ")</f>
        <v>5184</v>
      </c>
      <c r="J12" s="453">
        <f>IF(ISNUMBER(I12/B12),I12/B12," - ")</f>
        <v>576</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10</v>
      </c>
      <c r="C14" s="1149">
        <f>SUBTOTAL(9,C8:C13)</f>
        <v>4760</v>
      </c>
      <c r="D14" s="1150" t="str">
        <f>IF(ISNUMBER(C14/Datos!BI14),C14/Datos!BI14," - ")</f>
        <v xml:space="preserve"> - </v>
      </c>
      <c r="E14" s="1149">
        <f>SUBTOTAL(9,E8:E13)</f>
        <v>7927</v>
      </c>
      <c r="F14" s="1150">
        <f>IF(ISNUMBER(E14/B14),E14/B14," - ")</f>
        <v>792.7</v>
      </c>
      <c r="G14" s="1149">
        <f>SUBTOTAL(9,G8:G13)</f>
        <v>7420</v>
      </c>
      <c r="H14" s="1150">
        <f>IF(ISNUMBER(G14/B14),G14/B14," - ")</f>
        <v>742</v>
      </c>
      <c r="I14" s="1149">
        <f>SUBTOTAL(9,I8:I13)</f>
        <v>5274</v>
      </c>
      <c r="J14" s="1150">
        <f>IF(ISNUMBER(I14/B14),I14/B14," - ")</f>
        <v>527.4</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9</v>
      </c>
      <c r="C17" s="452">
        <f>IF(ISNUMBER(IF(D_I="SI",Datos!I17,Datos!I17+Datos!AC17)),IF(D_I="SI",Datos!I17,Datos!I17+Datos!AC17)," - ")</f>
        <v>2503</v>
      </c>
      <c r="D17" s="453">
        <f>IF(ISNUMBER(C17/Datos!BH17),C17/Datos!BH17," - ")</f>
        <v>278.11111111111109</v>
      </c>
      <c r="E17" s="452">
        <f>IF(ISNUMBER(IF(D_I="SI",Datos!J17,Datos!J17+Datos!AD17)),IF(D_I="SI",Datos!J17,Datos!J17+Datos!AD17)," - ")</f>
        <v>8374</v>
      </c>
      <c r="F17" s="453">
        <f>IF(ISNUMBER(E17/B17),E17/B17," - ")</f>
        <v>930.44444444444446</v>
      </c>
      <c r="G17" s="452">
        <f>IF(ISNUMBER(IF(D_I="SI",Datos!K17,Datos!K17+Datos!AE17)),IF(D_I="SI",Datos!K17,Datos!K17+Datos!AE17)," - ")</f>
        <v>8307</v>
      </c>
      <c r="H17" s="453">
        <f>IF(ISNUMBER(G17/B17),G17/B17," - ")</f>
        <v>923</v>
      </c>
      <c r="I17" s="452">
        <f>IF(ISNUMBER(IF(D_I="SI",Datos!L17,Datos!L17+Datos!AF17)),IF(D_I="SI",Datos!L17,Datos!L17+Datos!AF17)," - ")</f>
        <v>2394</v>
      </c>
      <c r="J17" s="453">
        <f>IF(ISNUMBER(I17/B17),I17/B17," - ")</f>
        <v>266</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226</v>
      </c>
      <c r="D18" s="453">
        <f>IF(ISNUMBER(C18/Datos!BH18),C18/Datos!BH18," - ")</f>
        <v>226</v>
      </c>
      <c r="E18" s="452">
        <f>IF(ISNUMBER(IF(D_I="SI",Datos!J18,Datos!J18+Datos!AD18)),IF(D_I="SI",Datos!J18,Datos!J18+Datos!AD18)," - ")</f>
        <v>658</v>
      </c>
      <c r="F18" s="453">
        <f>IF(ISNUMBER(E18/B18),E18/B18," - ")</f>
        <v>658</v>
      </c>
      <c r="G18" s="452">
        <f>IF(ISNUMBER(IF(D_I="SI",Datos!K18,Datos!K18+Datos!AE18)),IF(D_I="SI",Datos!K18,Datos!K18+Datos!AE18)," - ")</f>
        <v>610</v>
      </c>
      <c r="H18" s="453">
        <f>IF(ISNUMBER(G18/B18),G18/B18," - ")</f>
        <v>610</v>
      </c>
      <c r="I18" s="452">
        <f>IF(ISNUMBER(IF(D_I="SI",Datos!L18,Datos!L18+Datos!AF18)),IF(D_I="SI",Datos!L18,Datos!L18+Datos!AF18)," - ")</f>
        <v>274</v>
      </c>
      <c r="J18" s="453">
        <f>IF(ISNUMBER(I18/B18),I18/B18," - ")</f>
        <v>274</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10</v>
      </c>
      <c r="C23" s="1149">
        <f>SUBTOTAL(9,C15:C22)</f>
        <v>2729</v>
      </c>
      <c r="D23" s="1150" t="str">
        <f>IF(ISNUMBER(C23/Datos!BI23),C23/Datos!BI23," - ")</f>
        <v xml:space="preserve"> - </v>
      </c>
      <c r="E23" s="1149">
        <f>SUBTOTAL(9,E15:E22)</f>
        <v>9032</v>
      </c>
      <c r="F23" s="1150">
        <f>IF(ISNUMBER(E23/B23),E23/B23," - ")</f>
        <v>903.2</v>
      </c>
      <c r="G23" s="1149">
        <f>SUBTOTAL(9,G15:G22)</f>
        <v>8917</v>
      </c>
      <c r="H23" s="1150">
        <f>IF(ISNUMBER(G23/B23),G23/B23," - ")</f>
        <v>891.7</v>
      </c>
      <c r="I23" s="1149">
        <f>SUBTOTAL(9,I15:I22)</f>
        <v>2668</v>
      </c>
      <c r="J23" s="1150">
        <f>IF(ISNUMBER(I23/B23),I23/B23," - ")</f>
        <v>266.8</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10</v>
      </c>
      <c r="C31" s="1087">
        <f>SUBTOTAL(9,C9:C30)</f>
        <v>7489</v>
      </c>
      <c r="D31" s="1088" t="str">
        <f>IF(ISNUMBER(C31/Datos!BI31),C31/Datos!BI31," - ")</f>
        <v xml:space="preserve"> - </v>
      </c>
      <c r="E31" s="1087">
        <f>SUBTOTAL(9,E9:E30)</f>
        <v>16959</v>
      </c>
      <c r="F31" s="1088">
        <f>IF(ISNUMBER(E31/B31),E31/B31," - ")</f>
        <v>1695.9</v>
      </c>
      <c r="G31" s="1087">
        <f>SUBTOTAL(9,G9:G30)</f>
        <v>16337</v>
      </c>
      <c r="H31" s="1088">
        <f>IF(ISNUMBER(G31/B31),G31/B31," - ")</f>
        <v>1633.7</v>
      </c>
      <c r="I31" s="1087">
        <f>SUBTOTAL(9,I9:I30)</f>
        <v>7942</v>
      </c>
      <c r="J31" s="1088">
        <f>IF(ISNUMBER(I31/B31),I31/B31," - ")</f>
        <v>794.2</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WTo7p5aW1hgWyaEwowdskd/CkdfK1JH8hrcYVtrCLGveQ3Jqbp9yuLxfoKS4v8qhRxB5Ha4L05bMnKn+k5pmSg==" saltValue="jgGnuo7rBTi/3WPbKMNg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GAVA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1</v>
      </c>
      <c r="F10" s="908">
        <f>IF(ISNUMBER(Datos!L10+Datos!K10-Datos!J10),Datos!L10+Datos!K10-Datos!J10," - ")</f>
        <v>101</v>
      </c>
      <c r="G10" s="909">
        <f>IF(ISNUMBER(Datos!I10),Datos!I10," - ")</f>
        <v>100</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26</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113</v>
      </c>
      <c r="AC10" s="908" t="str">
        <f>IF(ISNUMBER(IF(D_I="SI",DatosP!K18,DatosP!K18+DatosP!AE18)),IF(D_I="SI",DatosP!K18,DatosP!K18+DatosP!AE18)," - ")</f>
        <v xml:space="preserve"> - </v>
      </c>
      <c r="AD10" s="910"/>
      <c r="AE10" s="910"/>
      <c r="AF10" s="913">
        <f>IF(ISNUMBER(Datos!L10),Datos!L10,"-")</f>
        <v>90</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46</v>
      </c>
      <c r="AM10" s="917">
        <f>IF(ISNUMBER(Datos!N10+DatosP!N18),Datos!N10+DatosP!N18," - ")</f>
        <v>46</v>
      </c>
      <c r="AN10" s="917">
        <f>IF(ISNUMBER(Datos!BW10+DatosP!BW18),Datos!BW10+DatosP!BW18," - ")</f>
        <v>0</v>
      </c>
      <c r="AO10" s="918">
        <f>IF(ISNUMBER(Datos!BX10+DatosP!BX18),Datos!BX10+DatosP!BX18," - ")</f>
        <v>0</v>
      </c>
      <c r="AP10" s="920">
        <f>IF(ISNUMBER(((Datos!L10/Datos!K10)*11)/factor_trimestre),((Datos!L10/Datos!K10)*11)/factor_trimestre," - ")</f>
        <v>8.7610619469026556</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9</v>
      </c>
      <c r="B12" s="750" t="s">
        <v>324</v>
      </c>
      <c r="C12" s="751" t="str">
        <f>Datos!A12</f>
        <v xml:space="preserve">Jdos. 1ª Instª. e Instr.                        </v>
      </c>
      <c r="D12" s="605"/>
      <c r="E12" s="907">
        <f>IF(ISNUMBER(Datos!AQ12),Datos!AQ12," - ")</f>
        <v>9</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1844</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2466</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7286</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1751</v>
      </c>
      <c r="AM12" s="917">
        <f>IF(ISNUMBER(Datos!N12+DatosP!N17),Datos!N12+DatosP!N17," - ")</f>
        <v>2601</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7.8040235390721229</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-7.8654527061203849E-2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10</v>
      </c>
      <c r="F14" s="1261">
        <f t="shared" si="0"/>
        <v>101</v>
      </c>
      <c r="G14" s="1261">
        <f t="shared" si="0"/>
        <v>100</v>
      </c>
      <c r="H14" s="1261">
        <f t="shared" si="0"/>
        <v>0</v>
      </c>
      <c r="I14" s="1263">
        <f t="shared" si="0"/>
        <v>0</v>
      </c>
      <c r="J14" s="1262">
        <f t="shared" si="0"/>
        <v>0</v>
      </c>
      <c r="K14" s="1262">
        <f t="shared" si="0"/>
        <v>0</v>
      </c>
      <c r="L14" s="1264">
        <f t="shared" si="0"/>
        <v>0</v>
      </c>
      <c r="M14" s="1264">
        <f t="shared" si="0"/>
        <v>0</v>
      </c>
      <c r="N14" s="1262">
        <f t="shared" si="0"/>
        <v>1870</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113</v>
      </c>
      <c r="AC14" s="1262">
        <f t="shared" si="1"/>
        <v>0</v>
      </c>
      <c r="AD14" s="1262">
        <f t="shared" si="1"/>
        <v>2466</v>
      </c>
      <c r="AE14" s="1262">
        <f t="shared" si="1"/>
        <v>0</v>
      </c>
      <c r="AF14" s="1262">
        <f t="shared" si="1"/>
        <v>90</v>
      </c>
      <c r="AG14" s="1262">
        <f t="shared" si="1"/>
        <v>0</v>
      </c>
      <c r="AH14" s="1262">
        <f t="shared" si="1"/>
        <v>7286</v>
      </c>
      <c r="AI14" s="1262">
        <f t="shared" si="1"/>
        <v>0</v>
      </c>
      <c r="AJ14" s="1262">
        <f t="shared" si="1"/>
        <v>0</v>
      </c>
      <c r="AK14" s="1262">
        <f t="shared" si="1"/>
        <v>0</v>
      </c>
      <c r="AL14" s="1262">
        <f t="shared" si="1"/>
        <v>1797</v>
      </c>
      <c r="AM14" s="1262">
        <f t="shared" si="1"/>
        <v>2647</v>
      </c>
      <c r="AN14" s="1262">
        <f t="shared" si="1"/>
        <v>0</v>
      </c>
      <c r="AO14" s="1262">
        <f t="shared" si="1"/>
        <v>0</v>
      </c>
      <c r="AP14" s="1267">
        <f>IF(ISNUMBER(((Datos!L14/Datos!K14)*11)/factor_trimestre),((Datos!L14/Datos!K14)*11)/factor_trimestre," - ")</f>
        <v>7.8430152143845095</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-1.1188118811881189</v>
      </c>
      <c r="AU14" s="1262" t="str">
        <f>IF(ISNUMBER((DatosP!#REF!-DatosP!#REF!+DatosP!#REF!)/(DatosP!#REF!+DatosP!#REF!-DatosP!#REF!-DatosP!#REF!)),(DatosP!#REF!-DatosP!#REF!+DatosP!#REF!)/(DatosP!#REF!+DatosP!#REF!-DatosP!#REF!-DatosP!#REF!)," - ")</f>
        <v xml:space="preserve"> - </v>
      </c>
      <c r="AV14" s="1268">
        <f>SUBTOTAL(9,AV9:AV13)</f>
        <v>-7.8654527061203849E-2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9</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3.2912414489177975</v>
      </c>
      <c r="AQ23" s="1267">
        <f>IF(ISNUMBER(((Datos!M23/Datos!L23)*11)/factor_trimestre),((Datos!M23/Datos!L23)*11)/factor_trimestre," - ")</f>
        <v>4.4404047976011993</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-9.3670886075949367E-2</v>
      </c>
      <c r="AW23" s="1270">
        <f>IF(ISNUMBER((Datos!Q23-Datos!R23)/(Datos!S23-Datos!Q23+Datos!R23)),(Datos!Q23-Datos!R23)/(Datos!S23-Datos!Q23+Datos!R23)," - ")</f>
        <v>3.3829499323410013E-2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10</v>
      </c>
      <c r="F31" s="1283">
        <f t="shared" si="8"/>
        <v>101</v>
      </c>
      <c r="G31" s="1283">
        <f t="shared" si="8"/>
        <v>100</v>
      </c>
      <c r="H31" s="1283">
        <f t="shared" si="8"/>
        <v>0</v>
      </c>
      <c r="I31" s="1284">
        <f t="shared" si="8"/>
        <v>0</v>
      </c>
      <c r="J31" s="1285">
        <f t="shared" si="8"/>
        <v>0</v>
      </c>
      <c r="K31" s="1285">
        <f t="shared" si="8"/>
        <v>0</v>
      </c>
      <c r="L31" s="1285">
        <f t="shared" si="8"/>
        <v>0</v>
      </c>
      <c r="M31" s="1285">
        <f t="shared" si="8"/>
        <v>0</v>
      </c>
      <c r="N31" s="1284">
        <f t="shared" si="8"/>
        <v>1870</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113</v>
      </c>
      <c r="AC31" s="1289">
        <f t="shared" si="9"/>
        <v>0</v>
      </c>
      <c r="AD31" s="1289">
        <f t="shared" si="9"/>
        <v>2466</v>
      </c>
      <c r="AE31" s="1289">
        <f t="shared" si="9"/>
        <v>0</v>
      </c>
      <c r="AF31" s="1290">
        <f t="shared" si="9"/>
        <v>90</v>
      </c>
      <c r="AG31" s="1290">
        <f t="shared" si="9"/>
        <v>0</v>
      </c>
      <c r="AH31" s="1290">
        <f t="shared" si="9"/>
        <v>7286</v>
      </c>
      <c r="AI31" s="1290">
        <f t="shared" si="9"/>
        <v>0</v>
      </c>
      <c r="AJ31" s="1291">
        <f t="shared" si="9"/>
        <v>0</v>
      </c>
      <c r="AK31" s="1291">
        <f t="shared" si="9"/>
        <v>0</v>
      </c>
      <c r="AL31" s="1283">
        <f t="shared" si="9"/>
        <v>1797</v>
      </c>
      <c r="AM31" s="1283">
        <f t="shared" si="9"/>
        <v>2647</v>
      </c>
      <c r="AN31" s="1283">
        <f t="shared" si="9"/>
        <v>0</v>
      </c>
      <c r="AO31" s="1283">
        <f t="shared" si="9"/>
        <v>0</v>
      </c>
      <c r="AP31" s="1283">
        <f>IF(ISNUMBER(((Datos!L31/Datos!K31)*11)/factor_trimestre),((Datos!L31/Datos!K31)*11)/factor_trimestre," - ")</f>
        <v>5.3293491050969219</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-1.1188118811881189</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-7.7895741381367054E-2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40</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4.1466184348749096</v>
      </c>
      <c r="F33" s="1009">
        <f>IF(ISNUMBER(STDEV(F8:F30)),STDEV(F8:F30),"-")</f>
        <v>55.319978308021781</v>
      </c>
      <c r="G33" s="1010">
        <f>IF(ISNUMBER(STDEV(G8:G30)),STDEV(G8:G30),"-")</f>
        <v>54.772255750516614</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61.892648998083772</v>
      </c>
      <c r="AC33" s="1011">
        <f>IF(ISNUMBER(STDEV(AC8:AC30)),STDEV(AC8:AC30),"-")</f>
        <v>0</v>
      </c>
      <c r="AD33" s="1014"/>
      <c r="AE33" s="1014"/>
      <c r="AF33" s="1014"/>
      <c r="AG33" s="1014"/>
      <c r="AH33" s="1014"/>
      <c r="AI33" s="1014"/>
      <c r="AJ33" s="1015">
        <f>IF(ISNUMBER(STDEV(AJ8:AJ30)),STDEV(AJ8:AJ30),"-")</f>
        <v>0</v>
      </c>
      <c r="AK33" s="1017"/>
      <c r="AL33" s="1009">
        <f>IF(ISNUMBER(STDEV(AL8:AL30)),STDEV(AL8:AL30),"-")</f>
        <v>910.44165106831531</v>
      </c>
      <c r="AM33" s="1009"/>
      <c r="AN33" s="1009">
        <f>IF(ISNUMBER(STDEV(AN8:AN30)),STDEV(AN8:AN30),"-")</f>
        <v>0</v>
      </c>
      <c r="AO33" s="1015">
        <f>IF(ISNUMBER(STDEV(AO8:AO30)),STDEV(AO8:AO30),"-")</f>
        <v>0</v>
      </c>
      <c r="AP33" s="1068">
        <f>IF(ISNUMBER(STDEV(AP8:AP30)),STDEV(AP8:AP30),"-")</f>
        <v>2.4624350338854621</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iTYJ/iQQ1VUhT1lhRkOJ63Vaohg7pWpONIBb4H1zOENP/c4vEITe11/u7FTkEFljVUkHncVqPrVwkhqdV+t9+A==" saltValue="+mt3BwEKuL+0EbcSnWoR2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GAVA</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9</v>
      </c>
      <c r="D12" s="452">
        <f>Datos!BK12</f>
        <v>0</v>
      </c>
      <c r="E12" s="452">
        <f>Datos!AQ12</f>
        <v>9</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9</v>
      </c>
      <c r="D17" s="452">
        <f>Datos!BK17</f>
        <v>0</v>
      </c>
      <c r="E17" s="452">
        <f>Datos!AQ17</f>
        <v>9</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cx76RgR+wxHF62YGaRRjaIPItGbBrHdpMknF997aNBhCZoCWb4YeMzYU+SdJ3VCy9mbDCgCNqEZYKYwwO59sfQ==" saltValue="DUqqgK999Kx5TEfuqJMh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GAVA</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1</v>
      </c>
      <c r="D10" s="452">
        <f>IF(ISNUMBER(Datos!M10),Datos!M10," - ")</f>
        <v>46</v>
      </c>
      <c r="E10" s="453">
        <f>IF(ISNUMBER(D10/B10),D10/B10," - ")</f>
        <v>46</v>
      </c>
      <c r="F10" s="452">
        <f>IF(ISNUMBER(Datos!N10),Datos!N10," - ")</f>
        <v>46</v>
      </c>
      <c r="G10" s="453">
        <f>IF(ISNUMBER(F10/B10),F10/B10," - ")</f>
        <v>46</v>
      </c>
      <c r="H10" s="452">
        <f>IF(ISNUMBER(Datos!O10),Datos!O10," - ")</f>
        <v>37</v>
      </c>
      <c r="I10" s="453">
        <f t="shared" ref="I10:I13" si="2">IF(ISNUMBER(H10/B10),H10/B10," - ")</f>
        <v>37</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9</v>
      </c>
      <c r="C12" s="459">
        <f>Datos!AQ12</f>
        <v>9</v>
      </c>
      <c r="D12" s="452">
        <f>IF(ISNUMBER(Datos!M12),Datos!M12," - ")</f>
        <v>1751</v>
      </c>
      <c r="E12" s="453">
        <f t="shared" si="0"/>
        <v>194.55555555555554</v>
      </c>
      <c r="F12" s="452">
        <f>IF(ISNUMBER(Datos!N12),Datos!N12," - ")</f>
        <v>2601</v>
      </c>
      <c r="G12" s="453">
        <f t="shared" si="1"/>
        <v>289</v>
      </c>
      <c r="H12" s="452">
        <f>IF(ISNUMBER(Datos!O12),Datos!O12," - ")</f>
        <v>3490</v>
      </c>
      <c r="I12" s="453">
        <f t="shared" si="2"/>
        <v>387.77777777777777</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10</v>
      </c>
      <c r="C14" s="1151">
        <f>Datos!AR14</f>
        <v>10</v>
      </c>
      <c r="D14" s="1149">
        <f>SUBTOTAL(9,D9:D13)</f>
        <v>1797</v>
      </c>
      <c r="E14" s="1150">
        <f t="shared" si="0"/>
        <v>179.7</v>
      </c>
      <c r="F14" s="1149">
        <f>SUBTOTAL(9,F9:F13)</f>
        <v>2647</v>
      </c>
      <c r="G14" s="1150">
        <f t="shared" si="1"/>
        <v>264.7</v>
      </c>
      <c r="H14" s="1149">
        <f>SUBTOTAL(9,H9:H13)</f>
        <v>3527</v>
      </c>
      <c r="I14" s="1150">
        <f>IF(ISNUMBER(H14/B14),H14/B14," - ")</f>
        <v>352.7</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9</v>
      </c>
      <c r="C17" s="482">
        <f>Datos!AQ17</f>
        <v>9</v>
      </c>
      <c r="D17" s="452">
        <f>IF(ISNUMBER(Datos!M17),Datos!M17," - ")</f>
        <v>1055</v>
      </c>
      <c r="E17" s="453">
        <f t="shared" si="3"/>
        <v>117.22222222222223</v>
      </c>
      <c r="F17" s="452">
        <f>IF(ISNUMBER(Datos!N17),Datos!N17," - ")</f>
        <v>5391</v>
      </c>
      <c r="G17" s="453">
        <f t="shared" si="4"/>
        <v>599</v>
      </c>
      <c r="H17" s="452">
        <f>IF(ISNUMBER(Datos!O17),Datos!O17," - ")</f>
        <v>151</v>
      </c>
      <c r="I17" s="453">
        <f t="shared" si="5"/>
        <v>16.777777777777779</v>
      </c>
    </row>
    <row r="18" spans="1:9">
      <c r="A18" s="451" t="str">
        <f>Datos!A18</f>
        <v>Jdos. Violencia contra la mujer</v>
      </c>
      <c r="B18" s="481">
        <f>Datos!AO18</f>
        <v>1</v>
      </c>
      <c r="C18" s="482">
        <f>Datos!AQ18</f>
        <v>1</v>
      </c>
      <c r="D18" s="452">
        <f>IF(ISNUMBER(Datos!M18),Datos!M18," - ")</f>
        <v>22</v>
      </c>
      <c r="E18" s="453">
        <f>IF(ISNUMBER(D18/B18),D18/B18," - ")</f>
        <v>22</v>
      </c>
      <c r="F18" s="452">
        <f>IF(ISNUMBER(Datos!N18),Datos!N18," - ")</f>
        <v>336</v>
      </c>
      <c r="G18" s="453">
        <f>IF(ISNUMBER(F18/B18),F18/B18," - ")</f>
        <v>336</v>
      </c>
      <c r="H18" s="452">
        <f>IF(ISNUMBER(Datos!O18),Datos!O18," - ")</f>
        <v>3</v>
      </c>
      <c r="I18" s="453">
        <f t="shared" si="5"/>
        <v>3</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10</v>
      </c>
      <c r="C23" s="1151">
        <f>Datos!AR23</f>
        <v>10</v>
      </c>
      <c r="D23" s="1149">
        <f>SUBTOTAL(9,D16:D22)</f>
        <v>1077</v>
      </c>
      <c r="E23" s="1150">
        <f t="shared" si="3"/>
        <v>107.7</v>
      </c>
      <c r="F23" s="1149">
        <f>SUBTOTAL(9,F16:F22)</f>
        <v>5727</v>
      </c>
      <c r="G23" s="1150">
        <f t="shared" si="4"/>
        <v>572.70000000000005</v>
      </c>
      <c r="H23" s="1149">
        <f>SUBTOTAL(9,H16:H22)</f>
        <v>154</v>
      </c>
      <c r="I23" s="1150">
        <f>IF(ISNUMBER(H23/B23),H23/B23," - ")</f>
        <v>15.4</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10</v>
      </c>
      <c r="C31" s="1087">
        <f>Datos!AR31</f>
        <v>10</v>
      </c>
      <c r="D31" s="1087">
        <f>SUBTOTAL(9,D8:D30)</f>
        <v>2874</v>
      </c>
      <c r="E31" s="1088">
        <f>IF(ISNUMBER(D31/B31),D31/B31," - ")</f>
        <v>287.39999999999998</v>
      </c>
      <c r="F31" s="1087">
        <f>SUBTOTAL(9,F8:F30)</f>
        <v>8374</v>
      </c>
      <c r="G31" s="1088">
        <f>IF(ISNUMBER(F31/B31),F31/B31," - ")</f>
        <v>837.4</v>
      </c>
      <c r="H31" s="1087">
        <f>SUBTOTAL(9,H8:H30)</f>
        <v>3681</v>
      </c>
      <c r="I31" s="1088">
        <f>IF(ISNUMBER(H31/B31),H31/B31," - ")</f>
        <v>368.1</v>
      </c>
    </row>
    <row r="34" spans="1:1">
      <c r="A34" s="440" t="str">
        <f>Criterios!A4</f>
        <v>Fecha Informe: 05 abr. 2022</v>
      </c>
    </row>
    <row r="39" spans="1:1">
      <c r="A39" s="463"/>
    </row>
  </sheetData>
  <sheetProtection algorithmName="SHA-512" hashValue="Sv7UTsJprQs0QaM60JyvVCoGniuufaAGvsQITQVgWP+Y0yJI1SqWlrR2poNoImUNTXGAO2VktzGO599n68vocw==" saltValue="9E9VmnKeaQej+Tl2ny22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GAVA</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26</v>
      </c>
      <c r="C10" s="490">
        <f>IF(ISNUMBER(Datos!Q10),Datos!Q10," - ")</f>
        <v>20</v>
      </c>
      <c r="D10" s="457">
        <f>IF(ISNUMBER(Datos!R10),Datos!R10," - ")</f>
        <v>86</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1844</v>
      </c>
      <c r="C12" s="490">
        <f>IF(ISNUMBER(Datos!Q12),Datos!Q12," - ")</f>
        <v>2466</v>
      </c>
      <c r="D12" s="457">
        <f>IF(ISNUMBER(Datos!R12),Datos!R12," - ")</f>
        <v>7286</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1870</v>
      </c>
      <c r="C14" s="1153">
        <f>SUBTOTAL(9,C9:C13)</f>
        <v>2486</v>
      </c>
      <c r="D14" s="1151">
        <f>SUBTOTAL(9,D9:D13)</f>
        <v>7372</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386</v>
      </c>
      <c r="C17" s="490">
        <f>IF(ISNUMBER(Datos!Q17),Datos!Q17," - ")</f>
        <v>429</v>
      </c>
      <c r="D17" s="457">
        <f>IF(ISNUMBER(Datos!R17),Datos!R17," - ")</f>
        <v>346</v>
      </c>
    </row>
    <row r="18" spans="1:4">
      <c r="A18" s="451" t="str">
        <f>Datos!A18</f>
        <v>Jdos. Violencia contra la mujer</v>
      </c>
      <c r="B18" s="489">
        <f>IF(ISNUMBER(Datos!P18),Datos!P18," - ")</f>
        <v>10</v>
      </c>
      <c r="C18" s="490">
        <f>IF(ISNUMBER(Datos!Q18),Datos!Q18," - ")</f>
        <v>4</v>
      </c>
      <c r="D18" s="457">
        <f>IF(ISNUMBER(Datos!R18),Datos!R18," - ")</f>
        <v>12</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396</v>
      </c>
      <c r="C23" s="1153">
        <f>SUBTOTAL(9,C16:C22)</f>
        <v>433</v>
      </c>
      <c r="D23" s="1151">
        <f>SUBTOTAL(9,D16:D22)</f>
        <v>358</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2266</v>
      </c>
      <c r="C31" s="1092">
        <f>SUBTOTAL(9,C8:C30)</f>
        <v>2919</v>
      </c>
      <c r="D31" s="1093">
        <f>SUBTOTAL(9,D8:D30)</f>
        <v>7730</v>
      </c>
    </row>
    <row r="32" spans="1:4" ht="7.5" customHeight="1"/>
    <row r="33" spans="1:1" ht="6" customHeight="1"/>
    <row r="34" spans="1:1">
      <c r="A34" s="440" t="str">
        <f>Criterios!A4</f>
        <v>Fecha Informe: 05 abr. 2022</v>
      </c>
    </row>
    <row r="39" spans="1:1">
      <c r="A39" s="463"/>
    </row>
  </sheetData>
  <sheetProtection algorithmName="SHA-512" hashValue="ColACS5A/1VZkY1sgQ1iIYKFBRNayEpIANaazLwhEqb65PhklCs+bs56oZfVcwUZ9ZJiV99rYdiEn0rE828wFg==" saltValue="jL10WxXeeybRm03XXja8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GAVA</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0.35135135135135137</v>
      </c>
      <c r="C10" s="516">
        <f>IF(ISNUMBER((Datos!J10-Datos!T10)/Datos!T10),(Datos!J10-Datos!T10)/Datos!T10," - ")</f>
        <v>4.0816326530612242E-2</v>
      </c>
      <c r="D10" s="516">
        <f>IF(ISNUMBER((Datos!K10-Datos!U10)/Datos!U10),(Datos!K10-Datos!U10)/Datos!U10," - ")</f>
        <v>0.50666666666666671</v>
      </c>
      <c r="E10" s="516">
        <f>IF(ISNUMBER((Datos!L10-Datos!V10)/Datos!V10),(Datos!L10-Datos!V10)/Datos!V10," - ")</f>
        <v>-0.1</v>
      </c>
      <c r="F10" s="516">
        <f>IF(ISNUMBER((Datos!M10-Datos!W10)/Datos!W10),(Datos!M10-Datos!W10)/Datos!W10," - ")</f>
        <v>0.4838709677419355</v>
      </c>
      <c r="G10" s="517">
        <f>IF(ISNUMBER((Datos!N10-Datos!X10)/Datos!X10),(Datos!N10-Datos!X10)/Datos!X10," - ")</f>
        <v>0.58620689655172409</v>
      </c>
      <c r="H10" s="515">
        <f>IF(ISNUMBER(((NºAsuntos!G10/NºAsuntos!E10)-Datos!BD10)/Datos!BD10),((NºAsuntos!G10/NºAsuntos!E10)-Datos!BD10)/Datos!BD10," - ")</f>
        <v>0.4475816993464054</v>
      </c>
      <c r="I10" s="516">
        <f>IF(ISNUMBER(((NºAsuntos!I10/NºAsuntos!G10)-Datos!BE10)/Datos!BE10),((NºAsuntos!I10/NºAsuntos!G10)-Datos!BE10)/Datos!BE10," - ")</f>
        <v>-0.40265486725663713</v>
      </c>
      <c r="J10" s="522">
        <f>IF(ISNUMBER((('Resol  Asuntos'!D10/NºAsuntos!G10)-Datos!BF10)/Datos!BF10),(('Resol  Asuntos'!D10/NºAsuntos!G10)-Datos!BF10)/Datos!BF10," - ")</f>
        <v>-1.512988866685692E-2</v>
      </c>
      <c r="K10" s="523">
        <f>IF(ISNUMBER((((NºAsuntos!C10+NºAsuntos!E10)/NºAsuntos!G10)-Datos!BG10)/Datos!BG10),(((NºAsuntos!C10+NºAsuntos!E10)/NºAsuntos!G10)-Datos!BG10)/Datos!BG10," - ")</f>
        <v>-0.22051862523152921</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0.15604068469362442</v>
      </c>
      <c r="C12" s="516">
        <f>IF(ISNUMBER(
   IF(J_V="SI",(Datos!J12-Datos!T12)/Datos!T12,(Datos!J12+Datos!Z12-(Datos!T12+Datos!AH12))/(Datos!T12+Datos!AH12))
     ),IF(J_V="SI",(Datos!J12-Datos!T12)/Datos!T12,(Datos!J12+Datos!Z12-(Datos!T12+Datos!AH12))/(Datos!T12+Datos!AH12))," - ")</f>
        <v>0.29724801061007955</v>
      </c>
      <c r="D12" s="516">
        <f>IF(ISNUMBER(
   IF(J_V="SI",(Datos!K12-Datos!U12)/Datos!U12,(Datos!K12+Datos!AA12-(Datos!U12+Datos!AI12))/(Datos!U12+Datos!AI12))
     ),IF(J_V="SI",(Datos!K12-Datos!U12)/Datos!U12,(Datos!K12+Datos!AA12-(Datos!U12+Datos!AI12))/(Datos!U12+Datos!AI12))," - ")</f>
        <v>0.35716939078751858</v>
      </c>
      <c r="E12" s="516">
        <f>IF(ISNUMBER(
   IF(J_V="SI",(Datos!L12-Datos!V12)/Datos!V12,(Datos!L12+Datos!AB12-(Datos!V12+Datos!AJ12))/(Datos!V12+Datos!AJ12))
     ),IF(J_V="SI",(Datos!L12-Datos!V12)/Datos!V12,(Datos!L12+Datos!AB12-(Datos!V12+Datos!AJ12))/(Datos!V12+Datos!AJ12))," - ")</f>
        <v>0.11244635193133047</v>
      </c>
      <c r="F12" s="516">
        <f>IF(ISNUMBER((Datos!M12-Datos!W12)/Datos!W12),(Datos!M12-Datos!W12)/Datos!W12," - ")</f>
        <v>0.48013524936601859</v>
      </c>
      <c r="G12" s="517">
        <f>IF(ISNUMBER((Datos!N12-Datos!X12)/Datos!X12),(Datos!N12-Datos!X12)/Datos!X12," - ")</f>
        <v>0.33865156973751931</v>
      </c>
      <c r="H12" s="515">
        <f>IF(ISNUMBER(((NºAsuntos!G12/NºAsuntos!E12)-Datos!BD12)/Datos!BD12),((NºAsuntos!G12/NºAsuntos!E12)-Datos!BD12)/Datos!BD12," - ")</f>
        <v>4.6191152106110189E-2</v>
      </c>
      <c r="I12" s="516">
        <f>IF(ISNUMBER(((NºAsuntos!I12/NºAsuntos!G12)-Datos!BE12)/Datos!BE12),((NºAsuntos!I12/NºAsuntos!G12)-Datos!BE12)/Datos!BE12," - ")</f>
        <v>-0.18031871372679847</v>
      </c>
      <c r="J12" s="522">
        <f>IF(ISNUMBER((('Resol  Asuntos'!D12/NºAsuntos!G12)-Datos!BF12)/Datos!BF12),(('Resol  Asuntos'!D12/NºAsuntos!G12)-Datos!BF12)/Datos!BF12," - ")</f>
        <v>-0.33598286064568689</v>
      </c>
      <c r="K12" s="523">
        <f>IF(ISNUMBER((((NºAsuntos!C12+NºAsuntos!E12)/NºAsuntos!G12)-Datos!BG12)/Datos!BG12),(((NºAsuntos!C12+NºAsuntos!E12)/NºAsuntos!G12)-Datos!BG12)/Datos!BG12," - ")</f>
        <v>-8.5829888916195793E-2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0.15956151035322777</v>
      </c>
      <c r="C14" s="1155">
        <f>IF(ISNUMBER(
   IF(J_V="SI",(Datos!J14-Datos!T14)/Datos!T14,(Datos!J14+Datos!Z14-(Datos!T14+Datos!AH14))/(Datos!T14+Datos!AH14))
     ),IF(J_V="SI",(Datos!J14-Datos!T14)/Datos!T14,(Datos!J14+Datos!Z14-(Datos!T14+Datos!AH14))/(Datos!T14+Datos!AH14))," - ")</f>
        <v>0.29314845024469821</v>
      </c>
      <c r="D14" s="1155">
        <f>IF(ISNUMBER(
   IF(J_V="SI",(Datos!K14-Datos!U14)/Datos!U14,(Datos!K14+Datos!AA14-(Datos!U14+Datos!AI14))/(Datos!U14+Datos!AI14))
     ),IF(J_V="SI",(Datos!K14-Datos!U14)/Datos!U14,(Datos!K14+Datos!AA14-(Datos!U14+Datos!AI14))/(Datos!U14+Datos!AI14))," - ")</f>
        <v>0.35922330097087379</v>
      </c>
      <c r="E14" s="1155">
        <f>IF(ISNUMBER(
   IF(J_V="SI",(Datos!L14-Datos!V14)/Datos!V14,(Datos!L14+Datos!AB14-(Datos!V14+Datos!AJ14))/(Datos!V14+Datos!AJ14))
     ),IF(J_V="SI",(Datos!L14-Datos!V14)/Datos!V14,(Datos!L14+Datos!AB14-(Datos!V14+Datos!AJ14))/(Datos!V14+Datos!AJ14))," - ")</f>
        <v>0.10798319327731093</v>
      </c>
      <c r="F14" s="1156">
        <f>IF(ISNUMBER((Datos!M14-Datos!W14)/Datos!W14),(Datos!M14-Datos!W14)/Datos!W14," - ")</f>
        <v>0.48023064250411862</v>
      </c>
      <c r="G14" s="1157">
        <f>IF(ISNUMBER((Datos!N14-Datos!X14)/Datos!X14),(Datos!N14-Datos!X14)/Datos!X14," - ")</f>
        <v>0.34229208924949289</v>
      </c>
      <c r="H14" s="1157">
        <f>IF(ISNUMBER(((NºAsuntos!G14/NºAsuntos!E14)-Datos!BD14)/Datos!BD14),((NºAsuntos!G14/NºAsuntos!E14)-Datos!BD14)/Datos!BD14," - ")</f>
        <v>5.1096106339277997E-2</v>
      </c>
      <c r="I14" s="1157">
        <f>IF(ISNUMBER(((NºAsuntos!I14/NºAsuntos!G14)-Datos!BE14)/Datos!BE14),((NºAsuntos!I14/NºAsuntos!G14)-Datos!BE14)/Datos!BE14," - ")</f>
        <v>-0.18484093637454982</v>
      </c>
      <c r="J14" s="1157">
        <f>IF(ISNUMBER((('Resol  Asuntos'!D14/NºAsuntos!G14)-Datos!BF14)/Datos!BF14),(('Resol  Asuntos'!D14/NºAsuntos!G14)-Datos!BF14)/Datos!BF14," - ")</f>
        <v>-0.33025401650021713</v>
      </c>
      <c r="K14" s="1157">
        <f>IF(ISNUMBER((((NºAsuntos!C14+NºAsuntos!E14)/NºAsuntos!G14)-Datos!BG14)/Datos!BG14),(((NºAsuntos!C14+NºAsuntos!E14)/NºAsuntos!G14)-Datos!BG14)/Datos!BG14," - ")</f>
        <v>-8.8030567380836047E-2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0.16418604651162791</v>
      </c>
      <c r="C17" s="516">
        <f>IF(ISNUMBER(
   IF(D_I="SI",(Datos!J17-Datos!T17)/Datos!T17,(Datos!J17+Datos!AD17-(Datos!T17+Datos!AL17))/(Datos!T17+Datos!AL17))
     ),IF(D_I="SI",(Datos!J17-Datos!T17)/Datos!T17,(Datos!J17+Datos!AD17-(Datos!T17+Datos!AL17))/(Datos!T17+Datos!AL17))," - ")</f>
        <v>8.9371666449850395E-2</v>
      </c>
      <c r="D17" s="516">
        <f>IF(ISNUMBER(
   IF(D_I="SI",(Datos!K17-Datos!U17)/Datos!U17,(Datos!K17+Datos!AE17-(Datos!U17+Datos!AM17))/(Datos!U17+Datos!AM17))
     ),IF(D_I="SI",(Datos!K17-Datos!U17)/Datos!U17,(Datos!K17+Datos!AE17-(Datos!U17+Datos!AM17))/(Datos!U17+Datos!AM17))," - ")</f>
        <v>0.1667134831460674</v>
      </c>
      <c r="E17" s="516">
        <f>IF(ISNUMBER(
   IF(D_I="SI",(Datos!L17-Datos!V17)/Datos!V17,(Datos!L17+Datos!AF17-(Datos!V17+Datos!AN17))/(Datos!V17+Datos!AN17))
     ),IF(D_I="SI",(Datos!L17-Datos!V17)/Datos!V17,(Datos!L17+Datos!AF17-(Datos!V17+Datos!AN17))/(Datos!V17+Datos!AN17))," - ")</f>
        <v>-4.3547742708749504E-2</v>
      </c>
      <c r="F17" s="516">
        <f>IF(ISNUMBER((Datos!M17-Datos!W17)/Datos!W17),(Datos!M17-Datos!W17)/Datos!W17," - ")</f>
        <v>0.2803398058252427</v>
      </c>
      <c r="G17" s="517">
        <f>IF(ISNUMBER((Datos!N17-Datos!X17)/Datos!X17),(Datos!N17-Datos!X17)/Datos!X17," - ")</f>
        <v>0.32359440216056962</v>
      </c>
      <c r="H17" s="515">
        <f>IF(ISNUMBER(((NºAsuntos!G17/NºAsuntos!E17)-Datos!BD17)/Datos!BD17),((NºAsuntos!G17/NºAsuntos!E17)-Datos!BD17)/Datos!BD17," - ")</f>
        <v>7.0996721392861312E-2</v>
      </c>
      <c r="I17" s="516">
        <f>IF(ISNUMBER(((NºAsuntos!I17/NºAsuntos!G17)-Datos!BE17)/Datos!BE17),((NºAsuntos!I17/NºAsuntos!G17)-Datos!BE17)/Datos!BE17," - ")</f>
        <v>-0.18021667606672642</v>
      </c>
      <c r="J17" s="522">
        <f>IF(ISNUMBER((('Resol  Asuntos'!D17/NºAsuntos!G17)-Datos!BF17)/Datos!BF17),(('Resol  Asuntos'!D17/NºAsuntos!G17)-Datos!BF17)/Datos!BF17," - ")</f>
        <v>9.7390082758604626E-2</v>
      </c>
      <c r="K17" s="523">
        <f>IF(ISNUMBER((((NºAsuntos!C17+NºAsuntos!E17)/NºAsuntos!G17)-Datos!BG17)/Datos!BG17),(((NºAsuntos!C17+NºAsuntos!E17)/NºAsuntos!G17)-Datos!BG17)/Datos!BG17," - ")</f>
        <v>-5.2275211014778757E-2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0.59154929577464788</v>
      </c>
      <c r="C18" s="516">
        <f>IF(ISNUMBER(
   IF(D_I="SI",(Datos!J18-Datos!T18)/Datos!T18,(Datos!J18+Datos!AD18-(Datos!T18+Datos!AL18))/(Datos!T18+Datos!AL18))
     ),IF(D_I="SI",(Datos!J18-Datos!T18)/Datos!T18,(Datos!J18+Datos!AD18-(Datos!T18+Datos!AL18))/(Datos!T18+Datos!AL18))," - ")</f>
        <v>-0.12032085561497326</v>
      </c>
      <c r="D18" s="516">
        <f>IF(ISNUMBER(
   IF(D_I="SI",(Datos!K18-Datos!U18)/Datos!U18,(Datos!K18+Datos!AE18-(Datos!U18+Datos!AM18))/(Datos!U18+Datos!AM18))
     ),IF(D_I="SI",(Datos!K18-Datos!U18)/Datos!U18,(Datos!K18+Datos!AE18-(Datos!U18+Datos!AM18))/(Datos!U18+Datos!AM18))," - ")</f>
        <v>-8.408408408408409E-2</v>
      </c>
      <c r="E18" s="516">
        <f>IF(ISNUMBER(
   IF(D_I="SI",(Datos!L18-Datos!V18)/Datos!V18,(Datos!L18+Datos!AF18-(Datos!V18+Datos!AN18))/(Datos!V18+Datos!AN18))
     ),IF(D_I="SI",(Datos!L18-Datos!V18)/Datos!V18,(Datos!L18+Datos!AF18-(Datos!V18+Datos!AN18))/(Datos!V18+Datos!AN18))," - ")</f>
        <v>0.21238938053097345</v>
      </c>
      <c r="F18" s="516">
        <f>IF(ISNUMBER((Datos!M18-Datos!W18)/Datos!W18),(Datos!M18-Datos!W18)/Datos!W18," - ")</f>
        <v>0.22222222222222221</v>
      </c>
      <c r="G18" s="517">
        <f>IF(ISNUMBER((Datos!N18-Datos!X18)/Datos!X18),(Datos!N18-Datos!X18)/Datos!X18," - ")</f>
        <v>0.3125</v>
      </c>
      <c r="H18" s="515">
        <f>IF(ISNUMBER(((NºAsuntos!G18/NºAsuntos!E18)-Datos!BD18)/Datos!BD18),((NºAsuntos!G18/NºAsuntos!E18)-Datos!BD18)/Datos!BD18," - ")</f>
        <v>4.1193168852743302E-2</v>
      </c>
      <c r="I18" s="516">
        <f>IF(ISNUMBER(((NºAsuntos!I18/NºAsuntos!G18)-Datos!BE18)/Datos!BE18),((NºAsuntos!I18/NºAsuntos!G18)-Datos!BE18)/Datos!BE18," - ")</f>
        <v>0.32369070071086609</v>
      </c>
      <c r="J18" s="522">
        <f>IF(ISNUMBER((('Resol  Asuntos'!D18/NºAsuntos!G18)-Datos!BF18)/Datos!BF18),(('Resol  Asuntos'!D18/NºAsuntos!G18)-Datos!BF18)/Datos!BF18," - ")</f>
        <v>0.33442622950819673</v>
      </c>
      <c r="K18" s="523">
        <f>IF(ISNUMBER((((NºAsuntos!C18+NºAsuntos!E18)/NºAsuntos!G18)-Datos!BG18)/Datos!BG18),(((NºAsuntos!C18+NºAsuntos!E18)/NºAsuntos!G18)-Datos!BG18)/Datos!BG18," - ")</f>
        <v>8.4442807146804202E-2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0.19066317626527052</v>
      </c>
      <c r="C23" s="1155">
        <f>IF(ISNUMBER(
   IF(Criterios!B14="SI",(Datos!J23-Datos!T23)/Datos!T23,(Datos!J23+Datos!AD23-(Datos!T23+Datos!AL23))/(Datos!T23+Datos!AL23))
     ),IF(Criterios!B14="SI",(Datos!J23-Datos!T23)/Datos!T23,(Datos!J23+Datos!AD23-(Datos!T23+Datos!AL23))/(Datos!T23+Datos!AL23))," - ")</f>
        <v>7.0776526378186128E-2</v>
      </c>
      <c r="D23" s="1155">
        <f>IF(ISNUMBER(
   IF(Criterios!B14="SI",(Datos!K23-Datos!U23)/Datos!U23,(Datos!K23+Datos!AE23-(Datos!U23+Datos!AM23))/(Datos!U23+Datos!AM23))
     ),IF(Criterios!B14="SI",(Datos!K23-Datos!U23)/Datos!U23,(Datos!K23+Datos!AE23-(Datos!U23+Datos!AM23))/(Datos!U23+Datos!AM23))," - ")</f>
        <v>0.14526072437708709</v>
      </c>
      <c r="E23" s="1155">
        <f>IF(ISNUMBER(
   IF(Criterios!B14="SI",(Datos!L23-Datos!V23)/Datos!V23,(Datos!L23+Datos!AF23-(Datos!V23+Datos!AN23))/(Datos!V23+Datos!AN23))
     ),IF(Criterios!B14="SI",(Datos!L23-Datos!V23)/Datos!V23,(Datos!L23+Datos!AF23-(Datos!V23+Datos!AN23))/(Datos!V23+Datos!AN23))," - ")</f>
        <v>-2.2352510076951264E-2</v>
      </c>
      <c r="F23" s="1156">
        <f>IF(ISNUMBER((Datos!M23-Datos!W23)/Datos!W23),(Datos!M23-Datos!W23)/Datos!W23," - ")</f>
        <v>0.27909738717339666</v>
      </c>
      <c r="G23" s="1157">
        <f>IF(ISNUMBER((Datos!N23-Datos!X23)/Datos!X23),(Datos!N23-Datos!X23)/Datos!X23," - ")</f>
        <v>0.32293832293832292</v>
      </c>
      <c r="H23" s="1157">
        <f>IF(ISNUMBER(((NºAsuntos!G23/NºAsuntos!E23)-Datos!BD23)/Datos!BD23),((NºAsuntos!G23/NºAsuntos!E23)-Datos!BD23)/Datos!BD23," - ")</f>
        <v>6.9560917861019617E-2</v>
      </c>
      <c r="I23" s="1157">
        <f>IF(ISNUMBER(((NºAsuntos!I23/NºAsuntos!G23)-Datos!BE23)/Datos!BE23),((NºAsuntos!I23/NºAsuntos!G23)-Datos!BE23)/Datos!BE23," - ")</f>
        <v>-0.14635377856444348</v>
      </c>
      <c r="J23" s="1157">
        <f>IF(ISNUMBER((('Resol  Asuntos'!D23/NºAsuntos!G23)-Datos!BF23)/Datos!BF23),(('Resol  Asuntos'!D23/NºAsuntos!G23)-Datos!BF23)/Datos!BF23," - ")</f>
        <v>0.11686130498284932</v>
      </c>
      <c r="K23" s="1157">
        <f>IF(ISNUMBER((((NºAsuntos!C23+NºAsuntos!E23)/NºAsuntos!G23)-Datos!BG23)/Datos!BG23),(((NºAsuntos!C23+NºAsuntos!E23)/NºAsuntos!G23)-Datos!BG23)/Datos!BG23," - ")</f>
        <v>-4.2670146785987371E-2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0.1707050179771768</v>
      </c>
      <c r="C31" s="1095">
        <f>IF(ISNUMBER(
   IF(J_V="SI",(Datos!J31-Datos!T31)/Datos!T31,(Datos!J31+Datos!Z31-(Datos!T31+Datos!AH31))/(Datos!T31+Datos!AH31))
     ),IF(J_V="SI",(Datos!J31-Datos!T31)/Datos!T31,(Datos!J31+Datos!Z31-(Datos!T31+Datos!AH31))/(Datos!T31+Datos!AH31))," - ")</f>
        <v>0.16436663233779608</v>
      </c>
      <c r="D31" s="1095">
        <f>IF(ISNUMBER(
   IF(J_V="SI",(Datos!K31-Datos!U31)/Datos!U31,(Datos!K31+Datos!AA31-(Datos!U31+Datos!AI31))/(Datos!U31+Datos!AI31))
     ),IF(J_V="SI",(Datos!K31-Datos!U31)/Datos!U31,(Datos!K31+Datos!AA31-(Datos!U31+Datos!AI31))/(Datos!U31+Datos!AI31))," - ")</f>
        <v>0.23344658361645904</v>
      </c>
      <c r="E31" s="1095">
        <f>IF(ISNUMBER(
   IF(J_V="SI",(Datos!L31-Datos!V31)/Datos!V31,(Datos!L31+Datos!AB31-(Datos!V31+Datos!AJ31))/(Datos!V31+Datos!AJ31))
     ),IF(J_V="SI",(Datos!L31-Datos!V31)/Datos!V31,(Datos!L31+Datos!AB31-(Datos!V31+Datos!AJ31))/(Datos!V31+Datos!AJ31))," - ")</f>
        <v>6.0488716784617438E-2</v>
      </c>
      <c r="F31" s="1096">
        <f>IF(ISNUMBER((Datos!M31-Datos!W31)/Datos!W31),(Datos!M31-Datos!W31)/Datos!W31," - ")</f>
        <v>0.3978599221789883</v>
      </c>
      <c r="G31" s="1097">
        <f>IF(ISNUMBER((Datos!N31-Datos!X31)/Datos!X31),(Datos!N31-Datos!X31)/Datos!X31," - ")</f>
        <v>0.32899539755594348</v>
      </c>
      <c r="H31" s="1098">
        <f>IF(ISNUMBER((Tasas!B31-Datos!BD31)/Datos!BD31),(Tasas!B31-Datos!BD31)/Datos!BD31," - ")</f>
        <v>5.9328350160606523E-2</v>
      </c>
      <c r="I31" s="1099">
        <f>IF(ISNUMBER((Tasas!C31-Datos!BE31)/Datos!BE31),(Tasas!C31-Datos!BE31)/Datos!BE31," - ")</f>
        <v>-0.14022323230628278</v>
      </c>
      <c r="J31" s="1100">
        <f>IF(ISNUMBER((Tasas!D31-Datos!BF31)/Datos!BF31),(Tasas!D31-Datos!BF31)/Datos!BF31," - ")</f>
        <v>-0.17256522944292654</v>
      </c>
      <c r="K31" s="1100">
        <f>IF(ISNUMBER((Tasas!E31-Datos!BG31)/Datos!BG31),(Tasas!E31-Datos!BG31)/Datos!BG31," - ")</f>
        <v>-5.4437426820202209E-2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JVMtidxA6Qvd8gK2BX5zMtKKf0vYwK/WEV/4pbNTBFCVnVR383STqXMG2qcmveQmExvlN3j3La1TgkpR35AmEQ==" saltValue="FWbwonHiw+lXYiT+3Puo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GAVA</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1.107843137254902</v>
      </c>
      <c r="C10" s="499">
        <f>IF(ISNUMBER(NºAsuntos!I10/NºAsuntos!G10),NºAsuntos!I10/NºAsuntos!G10," - ")</f>
        <v>0.79646017699115046</v>
      </c>
      <c r="D10" s="500">
        <f>IF(ISNUMBER('Resol  Asuntos'!D10/NºAsuntos!G10),'Resol  Asuntos'!D10/NºAsuntos!G10," - ")</f>
        <v>0.40707964601769914</v>
      </c>
      <c r="E10" s="501">
        <f>IF(ISNUMBER((NºAsuntos!C10+NºAsuntos!E10)/NºAsuntos!G10),(NºAsuntos!C10+NºAsuntos!E10)/NºAsuntos!G10," - ")</f>
        <v>1.7876106194690264</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0.93380191693290737</v>
      </c>
      <c r="C12" s="499">
        <f>IF(ISNUMBER(NºAsuntos!I12/NºAsuntos!G12),NºAsuntos!I12/NºAsuntos!G12," - ")</f>
        <v>0.70945668537019302</v>
      </c>
      <c r="D12" s="500">
        <f>IF(ISNUMBER('Resol  Asuntos'!D12/NºAsuntos!G12),'Resol  Asuntos'!D12/NºAsuntos!G12," - ")</f>
        <v>0.23963322841111262</v>
      </c>
      <c r="E12" s="501">
        <f>IF(ISNUMBER((NºAsuntos!C12+NºAsuntos!E12)/NºAsuntos!G12),(NºAsuntos!C12+NºAsuntos!E12)/NºAsuntos!G12," - ")</f>
        <v>1.7086355549473109</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0.93604137757032924</v>
      </c>
      <c r="C14" s="1159">
        <f>IF(ISNUMBER(NºAsuntos!I14/NºAsuntos!G14),NºAsuntos!I14/NºAsuntos!G14," - ")</f>
        <v>0.71078167115902968</v>
      </c>
      <c r="D14" s="1160">
        <f>IF(ISNUMBER('Resol  Asuntos'!D14/NºAsuntos!G14),'Resol  Asuntos'!D14/NºAsuntos!G14," - ")</f>
        <v>0.24218328840970352</v>
      </c>
      <c r="E14" s="1161">
        <f>IF(ISNUMBER((NºAsuntos!C14+NºAsuntos!E14)/NºAsuntos!G14),(NºAsuntos!C14+NºAsuntos!E14)/NºAsuntos!G14," - ")</f>
        <v>1.7098382749326146</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0.99199904466204925</v>
      </c>
      <c r="C17" s="499">
        <f>IF(ISNUMBER(NºAsuntos!I17/NºAsuntos!G17),NºAsuntos!I17/NºAsuntos!G17," - ")</f>
        <v>0.28819068255687974</v>
      </c>
      <c r="D17" s="500">
        <f>IF(ISNUMBER('Resol  Asuntos'!D17/NºAsuntos!G17),'Resol  Asuntos'!D17/NºAsuntos!G17," - ")</f>
        <v>0.12700132418442278</v>
      </c>
      <c r="E17" s="501">
        <f>IF(ISNUMBER((NºAsuntos!C17+NºAsuntos!E17)/NºAsuntos!G17),(NºAsuntos!C17+NºAsuntos!E17)/NºAsuntos!G17," - ")</f>
        <v>1.3093776333212952</v>
      </c>
      <c r="G17" s="524"/>
    </row>
    <row r="18" spans="1:7">
      <c r="A18" s="451" t="str">
        <f>Datos!A18</f>
        <v>Jdos. Violencia contra la mujer</v>
      </c>
      <c r="B18" s="498">
        <f>IF(ISNUMBER(NºAsuntos!G18/NºAsuntos!E18),NºAsuntos!G18/NºAsuntos!E18," - ")</f>
        <v>0.92705167173252279</v>
      </c>
      <c r="C18" s="499">
        <f>IF(ISNUMBER(NºAsuntos!I18/NºAsuntos!G18),NºAsuntos!I18/NºAsuntos!G18," - ")</f>
        <v>0.44918032786885248</v>
      </c>
      <c r="D18" s="500">
        <f>IF(ISNUMBER('Resol  Asuntos'!D18/NºAsuntos!G18),'Resol  Asuntos'!D18/NºAsuntos!G18," - ")</f>
        <v>3.6065573770491806E-2</v>
      </c>
      <c r="E18" s="501">
        <f>IF(ISNUMBER((NºAsuntos!C18+NºAsuntos!E18)/NºAsuntos!G18),(NºAsuntos!C18+NºAsuntos!E18)/NºAsuntos!G18," - ")</f>
        <v>1.4491803278688524</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0.98726749335695307</v>
      </c>
      <c r="C23" s="1159">
        <f>IF(ISNUMBER(NºAsuntos!I23/NºAsuntos!G23),NºAsuntos!I23/NºAsuntos!G23," - ")</f>
        <v>0.29920376808343613</v>
      </c>
      <c r="D23" s="1162">
        <f>IF(ISNUMBER('Resol  Asuntos'!D23/NºAsuntos!G23),'Resol  Asuntos'!D23/NºAsuntos!G23," - ")</f>
        <v>0.12078053156891332</v>
      </c>
      <c r="E23" s="1161">
        <f>IF(ISNUMBER((NºAsuntos!C23+NºAsuntos!E23)/NºAsuntos!G23),(NºAsuntos!C23+NºAsuntos!E23)/NºAsuntos!G23," - ")</f>
        <v>1.3189413479869911</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0.96332330915737951</v>
      </c>
      <c r="C31" s="1102">
        <f>IF(ISNUMBER(NºAsuntos!I31/NºAsuntos!G31),NºAsuntos!I31/NºAsuntos!G31," - ")</f>
        <v>0.48613576544041132</v>
      </c>
      <c r="D31" s="1103">
        <f>IF(ISNUMBER('Resol  Asuntos'!D31/NºAsuntos!G31),'Resol  Asuntos'!D31/NºAsuntos!G31," - ")</f>
        <v>0.17591969149782702</v>
      </c>
      <c r="E31" s="1104">
        <f>IF(ISNUMBER((NºAsuntos!C31+NºAsuntos!E31)/NºAsuntos!G31),(NºAsuntos!C31+NºAsuntos!E31)/NºAsuntos!G31," - ")</f>
        <v>1.4964803819550714</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STIFlJ3HSnC7oNMJRjDV60WQEWgiGllevhihcjv0T38w40swVheM/zu1UFLwXNzSMuNanlBpnzpaJ41QldCC1A==" saltValue="XkcstRHQto9rj55ZnsGA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GAVA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1</v>
      </c>
      <c r="F10" s="239">
        <f>IF(ISNUMBER(Datos!L10+Datos!K10-Datos!J10-K10),Datos!L10+Datos!K10-Datos!J10-K10," - ")</f>
        <v>101</v>
      </c>
      <c r="G10" s="373">
        <f>IF(ISNUMBER(Datos!I10),Datos!I10," - ")</f>
        <v>100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26</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113</v>
      </c>
      <c r="X10" s="240">
        <f>IF(ISNUMBER(Datos!Q10),Datos!Q10," - ")</f>
        <v>20</v>
      </c>
      <c r="Y10" s="374">
        <f t="shared" ref="Y10:Y13" si="0">SUM(W10:X10)</f>
        <v>133</v>
      </c>
      <c r="Z10" s="375" t="str">
        <f>IF(ISNUMBER(Datos!CC10),Datos!CC10," - ")</f>
        <v xml:space="preserve"> - </v>
      </c>
      <c r="AA10" s="372">
        <f>IF(ISNUMBER(Datos!L10),Datos!L10,"-")</f>
        <v>90</v>
      </c>
      <c r="AB10" s="374">
        <f>IF(ISNUMBER(Datos!R10),Datos!R10," - ")</f>
        <v>86</v>
      </c>
      <c r="AC10" s="374">
        <f t="shared" ref="AC10:AC13" si="1">IF(ISNUMBER(AA10+AB10),AA10+AB10," - ")</f>
        <v>176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46</v>
      </c>
      <c r="AJ10" s="245" t="str">
        <f>IF(ISNUMBER(Datos!BW10),Datos!BW10," - ")</f>
        <v xml:space="preserve"> - </v>
      </c>
      <c r="AK10" s="246" t="str">
        <f>IF(ISNUMBER(Datos!BX10),Datos!BX10," - ")</f>
        <v xml:space="preserve"> - </v>
      </c>
      <c r="AL10" s="266">
        <f>IF(ISNUMBER(NºAsuntos!G10/NºAsuntos!E10),NºAsuntos!G10/NºAsuntos!E10," - ")</f>
        <v>1.107843137254902</v>
      </c>
      <c r="AM10" s="284">
        <f>IF(ISNUMBER(((NºAsuntos!I10/NºAsuntos!G10)*11)/factor_trimestre),((NºAsuntos!I10/NºAsuntos!G10)*11)/factor_trimestre," - ")</f>
        <v>8.7610619469026556</v>
      </c>
      <c r="AN10" s="267">
        <f>IF(ISNUMBER('Resol  Asuntos'!D10/NºAsuntos!G10),'Resol  Asuntos'!D10/NºAsuntos!G10," - ")</f>
        <v>0.40707964601769914</v>
      </c>
      <c r="AO10" s="268">
        <f>IF(ISNUMBER((NºAsuntos!C10+NºAsuntos!E10)/NºAsuntos!G10),(NºAsuntos!C10+NºAsuntos!E10)/NºAsuntos!G10," - ")</f>
        <v>1.7876106194690264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9</v>
      </c>
      <c r="B12" s="300" t="s">
        <v>324</v>
      </c>
      <c r="C12" s="7" t="str">
        <f>Datos!A12</f>
        <v xml:space="preserve">Jdos. 1ª Instª. e Instr.                        </v>
      </c>
      <c r="D12" s="7"/>
      <c r="E12" s="290">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1844</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2466</v>
      </c>
      <c r="Y12" s="374">
        <f t="shared" si="0"/>
        <v>2466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1751</v>
      </c>
      <c r="AJ12" s="243" t="str">
        <f>IF(ISNUMBER(Datos!BW12),Datos!BW12," - ")</f>
        <v xml:space="preserve"> - </v>
      </c>
      <c r="AK12" s="242" t="str">
        <f>IF(ISNUMBER(Datos!BX12),Datos!BX12," - ")</f>
        <v xml:space="preserve"> - </v>
      </c>
      <c r="AL12" s="266">
        <f>IF(ISNUMBER(NºAsuntos!G12/NºAsuntos!E12),NºAsuntos!G12/NºAsuntos!E12," - ")</f>
        <v>0.93380191693290737</v>
      </c>
      <c r="AM12" s="284">
        <f>IF(ISNUMBER(((NºAsuntos!I12/NºAsuntos!G12)*11)/factor_trimestre),((NºAsuntos!I12/NºAsuntos!G12)*11)/factor_trimestre," - ")</f>
        <v>7.8040235390721229</v>
      </c>
      <c r="AN12" s="267">
        <f>IF(ISNUMBER('Resol  Asuntos'!D12/NºAsuntos!G12),'Resol  Asuntos'!D12/NºAsuntos!G12," - ")</f>
        <v>0.23963322841111262</v>
      </c>
      <c r="AO12" s="268">
        <f>IF(ISNUMBER((NºAsuntos!C12+NºAsuntos!E12)/NºAsuntos!G12),(NºAsuntos!C12+NºAsuntos!E12)/NºAsuntos!G12," - ")</f>
        <v>1.7086355549473109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10</v>
      </c>
      <c r="F14" s="1165">
        <f t="shared" si="5"/>
        <v>101</v>
      </c>
      <c r="G14" s="1166">
        <f t="shared" si="5"/>
        <v>100</v>
      </c>
      <c r="H14" s="1165">
        <f t="shared" si="5"/>
        <v>0</v>
      </c>
      <c r="I14" s="1167">
        <f t="shared" si="5"/>
        <v>0</v>
      </c>
      <c r="J14" s="1167">
        <f t="shared" si="5"/>
        <v>0</v>
      </c>
      <c r="K14" s="1167">
        <f t="shared" si="5"/>
        <v>0</v>
      </c>
      <c r="L14" s="1167">
        <f t="shared" si="5"/>
        <v>1870</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113</v>
      </c>
      <c r="X14" s="1167">
        <f t="shared" si="6"/>
        <v>2486</v>
      </c>
      <c r="Y14" s="1168">
        <f t="shared" si="6"/>
        <v>2599</v>
      </c>
      <c r="Z14" s="1168">
        <f t="shared" si="6"/>
        <v>0</v>
      </c>
      <c r="AA14" s="1168">
        <f t="shared" si="6"/>
        <v>90</v>
      </c>
      <c r="AB14" s="1168">
        <f t="shared" si="6"/>
        <v>7372</v>
      </c>
      <c r="AC14" s="1168">
        <f t="shared" si="6"/>
        <v>176</v>
      </c>
      <c r="AD14" s="1168">
        <f t="shared" si="6"/>
        <v>0</v>
      </c>
      <c r="AE14" s="1172">
        <f t="shared" si="6"/>
        <v>0</v>
      </c>
      <c r="AF14" s="1165">
        <f t="shared" si="6"/>
        <v>0</v>
      </c>
      <c r="AG14" s="1173">
        <f t="shared" si="6"/>
        <v>0</v>
      </c>
      <c r="AH14" s="1170">
        <f t="shared" si="6"/>
        <v>0</v>
      </c>
      <c r="AI14" s="1165">
        <f t="shared" si="6"/>
        <v>1797</v>
      </c>
      <c r="AJ14" s="1167">
        <f t="shared" si="6"/>
        <v>0</v>
      </c>
      <c r="AK14" s="1170">
        <f>SUBTOTAL(9,AK9:AK13)</f>
        <v>0</v>
      </c>
      <c r="AL14" s="1174">
        <f>IF(ISNUMBER(NºAsuntos!G14/NºAsuntos!E14),NºAsuntos!G14/NºAsuntos!E14," - ")</f>
        <v>0.93604137757032924</v>
      </c>
      <c r="AM14" s="1174">
        <f>IF(ISNUMBER(((NºAsuntos!I14/NºAsuntos!G14)*11)/factor_trimestre),((NºAsuntos!I14/NºAsuntos!G14)*11)/factor_trimestre," - ")</f>
        <v>7.8185983827493262</v>
      </c>
      <c r="AN14" s="1175">
        <f>IF(ISNUMBER('Resol  Asuntos'!D14/NºAsuntos!G14),'Resol  Asuntos'!D14/NºAsuntos!G14," - ")</f>
        <v>0.24218328840970352</v>
      </c>
      <c r="AO14" s="1176">
        <f>IF(ISNUMBER((NºAsuntos!C14+NºAsuntos!E14)/NºAsuntos!G14),(NºAsuntos!C14+NºAsuntos!E14)/NºAsuntos!G14," - ")</f>
        <v>1.7098382749326146</v>
      </c>
      <c r="AP14" s="1177" t="str">
        <f t="shared" si="2"/>
        <v xml:space="preserve"> - </v>
      </c>
      <c r="AQ14" s="1177">
        <f>IF(ISNUMBER((H14-W14+K14)/(F14)),(H14-W14+K14)/(F14)," - ")</f>
        <v>-1.1188118811881189</v>
      </c>
      <c r="AR14" s="1178">
        <f>IF(ISNUMBER((Datos!P14-Datos!Q14)/(Datos!R14-Datos!P14+Datos!Q14)),(Datos!P14-Datos!Q14)/(Datos!R14-Datos!P14+Datos!Q14)," - ")</f>
        <v>-7.7115673510265395E-2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9</v>
      </c>
      <c r="B17" s="300" t="s">
        <v>515</v>
      </c>
      <c r="C17" s="173" t="str">
        <f>Datos!A17</f>
        <v xml:space="preserve">Jdos. 1ª Instª. e Instr.                        </v>
      </c>
      <c r="D17" s="173"/>
      <c r="E17" s="290">
        <f>IF(ISNUMBER(Datos!AQ17),Datos!AQ17," - ")</f>
        <v>9</v>
      </c>
      <c r="F17" s="239">
        <f>IF(ISNUMBER(AA17+W17-Datos!J17-K17),AA17+W17-Datos!J17-K17," - ")</f>
        <v>2327</v>
      </c>
      <c r="G17" s="373">
        <f>IF(ISNUMBER(IF(D_I="SI",Datos!I17,Datos!I17+Datos!AC17)),IF(D_I="SI",Datos!I17,Datos!I17+Datos!AC17)," - ")</f>
        <v>2503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386</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8307</v>
      </c>
      <c r="X17" s="240">
        <f>IF(ISNUMBER(Datos!Q17),Datos!Q17," - ")</f>
        <v>429</v>
      </c>
      <c r="Y17" s="374">
        <f t="shared" ref="Y17:Y22" si="9">SUM(W17:X17)</f>
        <v>8736</v>
      </c>
      <c r="Z17" s="375" t="str">
        <f>IF(ISNUMBER(Datos!CC17),Datos!CC17," - ")</f>
        <v xml:space="preserve"> - </v>
      </c>
      <c r="AA17" s="372">
        <f>IF(ISNUMBER(IF(D_I="SI",Datos!L17,Datos!L17+Datos!AF17)),IF(D_I="SI",Datos!L17,Datos!L17+Datos!AF17)," - ")</f>
        <v>2394</v>
      </c>
      <c r="AB17" s="374">
        <f>IF(ISNUMBER(Datos!R17),Datos!R17," - ")</f>
        <v>346</v>
      </c>
      <c r="AC17" s="374">
        <f t="shared" si="8"/>
        <v>2740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1055</v>
      </c>
      <c r="AJ17" s="245" t="str">
        <f>IF(ISNUMBER(Datos!BW17),Datos!BW17," - ")</f>
        <v xml:space="preserve"> - </v>
      </c>
      <c r="AK17" s="246" t="str">
        <f>IF(ISNUMBER(Datos!BX17),Datos!BX17," - ")</f>
        <v xml:space="preserve"> - </v>
      </c>
      <c r="AL17" s="266">
        <f>IF(ISNUMBER(NºAsuntos!G17/NºAsuntos!E17),NºAsuntos!G17/NºAsuntos!E17," - ")</f>
        <v>0.99199904466204925</v>
      </c>
      <c r="AM17" s="284">
        <f>IF(ISNUMBER(((NºAsuntos!I17/NºAsuntos!G17)*11)/factor_trimestre),((NºAsuntos!I17/NºAsuntos!G17)*11)/factor_trimestre," - ")</f>
        <v>3.1700975081256773</v>
      </c>
      <c r="AN17" s="267">
        <f>IF(ISNUMBER('Resol  Asuntos'!D17/NºAsuntos!G17),'Resol  Asuntos'!D17/NºAsuntos!G17," - ")</f>
        <v>0.12700132418442278</v>
      </c>
      <c r="AO17" s="268">
        <f>IF(ISNUMBER((NºAsuntos!C17+NºAsuntos!E17)/NºAsuntos!G17),(NºAsuntos!C17+NºAsuntos!E17)/NºAsuntos!G17," - ")</f>
        <v>1.3093776333212952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226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610</v>
      </c>
      <c r="X18" s="240">
        <f>IF(ISNUMBER(Datos!Q18),Datos!Q18," - ")</f>
        <v>4</v>
      </c>
      <c r="Y18" s="374">
        <f t="shared" si="9"/>
        <v>614</v>
      </c>
      <c r="Z18" s="375" t="str">
        <f>IF(ISNUMBER(Datos!CC18),Datos!CC18," - ")</f>
        <v xml:space="preserve"> - </v>
      </c>
      <c r="AA18" s="372">
        <f>IF(ISNUMBER(Datos!L18),Datos!L18,"-")</f>
        <v>274</v>
      </c>
      <c r="AB18" s="374">
        <f>IF(ISNUMBER(Datos!R18),Datos!R18," - ")</f>
        <v>12</v>
      </c>
      <c r="AC18" s="374">
        <f t="shared" si="8"/>
        <v>286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0.92705167173252279</v>
      </c>
      <c r="AM18" s="284">
        <f>IF(ISNUMBER(((NºAsuntos!I18/NºAsuntos!G18)*11)/factor_trimestre),((NºAsuntos!I18/NºAsuntos!G18)*11)/factor_trimestre," - ")</f>
        <v>4.9409836065573769</v>
      </c>
      <c r="AN18" s="267">
        <f>IF(ISNUMBER('Resol  Asuntos'!D18/NºAsuntos!G18),'Resol  Asuntos'!D18/NºAsuntos!G18," - ")</f>
        <v>3.6065573770491806E-2</v>
      </c>
      <c r="AO18" s="268">
        <f>IF(ISNUMBER((NºAsuntos!C18+NºAsuntos!E18)/NºAsuntos!G18),(NºAsuntos!C18+NºAsuntos!E18)/NºAsuntos!G18," - ")</f>
        <v>1.4491803278688524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10</v>
      </c>
      <c r="F23" s="1165">
        <f>SUBTOTAL(9,F15:F22)</f>
        <v>2327</v>
      </c>
      <c r="G23" s="1166">
        <f>SUBTOTAL(9,G16:G22)</f>
        <v>2729</v>
      </c>
      <c r="H23" s="1165">
        <f t="shared" ref="H23:O23" si="13">SUBTOTAL(9,H15:H22)</f>
        <v>0</v>
      </c>
      <c r="I23" s="1167">
        <f t="shared" si="13"/>
        <v>0</v>
      </c>
      <c r="J23" s="1167">
        <f t="shared" si="13"/>
        <v>0</v>
      </c>
      <c r="K23" s="1167">
        <f t="shared" si="13"/>
        <v>0</v>
      </c>
      <c r="L23" s="1167">
        <f t="shared" si="13"/>
        <v>396</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8917</v>
      </c>
      <c r="X23" s="1167">
        <f t="shared" si="14"/>
        <v>433</v>
      </c>
      <c r="Y23" s="1168">
        <f t="shared" si="14"/>
        <v>9350</v>
      </c>
      <c r="Z23" s="1168">
        <f t="shared" si="14"/>
        <v>0</v>
      </c>
      <c r="AA23" s="1168">
        <f t="shared" si="14"/>
        <v>2668</v>
      </c>
      <c r="AB23" s="1168">
        <f t="shared" si="14"/>
        <v>358</v>
      </c>
      <c r="AC23" s="1168">
        <f t="shared" si="14"/>
        <v>3026</v>
      </c>
      <c r="AD23" s="1168">
        <f t="shared" si="14"/>
        <v>0</v>
      </c>
      <c r="AE23" s="1172">
        <f t="shared" si="14"/>
        <v>0</v>
      </c>
      <c r="AF23" s="1165">
        <f t="shared" si="14"/>
        <v>0</v>
      </c>
      <c r="AG23" s="1173">
        <f t="shared" si="14"/>
        <v>0</v>
      </c>
      <c r="AH23" s="1170">
        <f t="shared" si="14"/>
        <v>0</v>
      </c>
      <c r="AI23" s="1165">
        <f t="shared" si="14"/>
        <v>1077</v>
      </c>
      <c r="AJ23" s="1167">
        <f t="shared" si="14"/>
        <v>0</v>
      </c>
      <c r="AK23" s="1170">
        <f t="shared" si="14"/>
        <v>0</v>
      </c>
      <c r="AL23" s="1174">
        <f>IF(ISNUMBER(NºAsuntos!G23/NºAsuntos!E23),NºAsuntos!G23/NºAsuntos!E23," - ")</f>
        <v>0.98726749335695307</v>
      </c>
      <c r="AM23" s="1174">
        <f>IF(ISNUMBER(((NºAsuntos!I23/NºAsuntos!G23)*11)/factor_trimestre),((NºAsuntos!I23/NºAsuntos!G23)*11)/factor_trimestre," - ")</f>
        <v>3.2912414489177975</v>
      </c>
      <c r="AN23" s="1175">
        <f>IF(ISNUMBER('Resol  Asuntos'!D23/NºAsuntos!G23),'Resol  Asuntos'!D23/NºAsuntos!G23," - ")</f>
        <v>0.12078053156891332</v>
      </c>
      <c r="AO23" s="1176">
        <f>IF(ISNUMBER((NºAsuntos!C23+NºAsuntos!E23)/NºAsuntos!G23),(NºAsuntos!C23+NºAsuntos!E23)/NºAsuntos!G23," - ")</f>
        <v>1.3189413479869911</v>
      </c>
      <c r="AP23" s="1177" t="str">
        <f t="shared" si="2"/>
        <v xml:space="preserve"> - </v>
      </c>
      <c r="AQ23" s="1177">
        <f>IF(ISNUMBER((H23-W23+K23)/(F23)),(H23-W23+K23)/(F23)," - ")</f>
        <v>-3.8319724967769662</v>
      </c>
      <c r="AR23" s="1178">
        <f>IF(ISNUMBER((Datos!P23-Datos!Q23)/(Datos!R23-Datos!P23+Datos!Q23)),(Datos!P23-Datos!Q23)/(Datos!R23-Datos!P23+Datos!Q23)," - ")</f>
        <v>-9.3670886075949367E-2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20</v>
      </c>
      <c r="F31" s="1120">
        <f t="shared" si="20"/>
        <v>2428</v>
      </c>
      <c r="G31" s="1121">
        <f t="shared" si="20"/>
        <v>2829</v>
      </c>
      <c r="H31" s="1120">
        <f t="shared" si="20"/>
        <v>0</v>
      </c>
      <c r="I31" s="1122">
        <f t="shared" si="20"/>
        <v>0</v>
      </c>
      <c r="J31" s="1122">
        <f t="shared" si="20"/>
        <v>0</v>
      </c>
      <c r="K31" s="1183">
        <f t="shared" si="20"/>
        <v>0</v>
      </c>
      <c r="L31" s="1122">
        <f t="shared" si="20"/>
        <v>2266</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9030</v>
      </c>
      <c r="X31" s="1121">
        <f t="shared" si="21"/>
        <v>2919</v>
      </c>
      <c r="Y31" s="1128">
        <f t="shared" si="21"/>
        <v>11949</v>
      </c>
      <c r="Z31" s="1128">
        <f t="shared" si="21"/>
        <v>0</v>
      </c>
      <c r="AA31" s="1128">
        <f t="shared" si="21"/>
        <v>2758</v>
      </c>
      <c r="AB31" s="1128">
        <f t="shared" si="21"/>
        <v>7730</v>
      </c>
      <c r="AC31" s="1128">
        <f t="shared" si="21"/>
        <v>3202</v>
      </c>
      <c r="AD31" s="1128">
        <f t="shared" si="21"/>
        <v>0</v>
      </c>
      <c r="AE31" s="1130">
        <f t="shared" si="21"/>
        <v>0</v>
      </c>
      <c r="AF31" s="1131">
        <f t="shared" si="21"/>
        <v>0</v>
      </c>
      <c r="AG31" s="1132">
        <f t="shared" si="21"/>
        <v>0</v>
      </c>
      <c r="AH31" s="1130">
        <f t="shared" si="21"/>
        <v>0</v>
      </c>
      <c r="AI31" s="1120">
        <f t="shared" si="21"/>
        <v>2874</v>
      </c>
      <c r="AJ31" s="1120">
        <f t="shared" si="21"/>
        <v>0</v>
      </c>
      <c r="AK31" s="1130">
        <f t="shared" si="21"/>
        <v>0</v>
      </c>
      <c r="AL31" s="1186">
        <f>IF(ISNUMBER(NºAsuntos!G31/NºAsuntos!E31),NºAsuntos!G31/NºAsuntos!E31," - ")</f>
        <v>0.96332330915737951</v>
      </c>
      <c r="AM31" s="1187">
        <f>IF(ISNUMBER(((NºAsuntos!I31/NºAsuntos!G31)*11)/factor_trimestre),((NºAsuntos!I31/NºAsuntos!G31)*11)/factor_trimestre," - ")</f>
        <v>5.3474934198445245</v>
      </c>
      <c r="AN31" s="1187">
        <f>IF(ISNUMBER('Resol  Asuntos'!D31/NºAsuntos!G31),'Resol  Asuntos'!D31/NºAsuntos!G31," - ")</f>
        <v>0.17591969149782702</v>
      </c>
      <c r="AO31" s="1188">
        <f>IF(ISNUMBER((NºAsuntos!C31+NºAsuntos!E31)/NºAsuntos!G31),(NºAsuntos!C31+NºAsuntos!E31)/NºAsuntos!G31," - ")</f>
        <v>1.4964803819550714</v>
      </c>
      <c r="AP31" s="1189" t="str">
        <f t="shared" si="2"/>
        <v xml:space="preserve"> - </v>
      </c>
      <c r="AQ31" s="1190">
        <f>IF(OR(ISNUMBER(FIND("01",Criterios!A8,1)),ISNUMBER(FIND("02",Criterios!A8,1)),ISNUMBER(FIND("03",Criterios!A8,1)),ISNUMBER(FIND("04",Criterios!A8,1))),(I31-W31+K31)/(F31-K31),(H31-W31+K31)/(F31-K31))</f>
        <v>-3.7191103789126854</v>
      </c>
      <c r="AR31" s="1191">
        <f>IF(ISNUMBER((Datos!P31-Datos!Q31)/(Datos!R31-Datos!P31+Datos!Q31)),(Datos!P31-Datos!Q31)/(Datos!R31-Datos!P31+Datos!Q31)," - ")</f>
        <v>-7.7895741381367054E-2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808.28571428571433</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3.9425701831575308</v>
      </c>
      <c r="F33" s="276">
        <f>IF(ISNUMBER(STDEV(F8:F30)),STDEV(F8:F30),"-")</f>
        <v>1176.4469672138505</v>
      </c>
      <c r="G33" s="277">
        <f>IF(ISNUMBER(STDEV(G8:G30)),STDEV(G8:G30),"-")</f>
        <v>1238.9676770448473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4129.6080524266063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796.49464171814384</v>
      </c>
      <c r="AJ33" s="276">
        <f t="shared" si="24"/>
        <v>0</v>
      </c>
      <c r="AK33" s="278">
        <f t="shared" si="24"/>
        <v>0</v>
      </c>
      <c r="AL33" s="273">
        <f t="shared" si="24"/>
        <v>6.8422419203128124E-2</v>
      </c>
      <c r="AM33" s="274">
        <f t="shared" si="24"/>
        <v>2.475676416546476</v>
      </c>
      <c r="AN33" s="274">
        <f t="shared" si="24"/>
        <v>0.13006722164824666</v>
      </c>
      <c r="AO33" s="275">
        <f t="shared" si="24"/>
        <v>0.21381264448985773</v>
      </c>
      <c r="AP33" s="317" t="str">
        <f t="shared" si="24"/>
        <v>-</v>
      </c>
      <c r="AQ33" s="318">
        <f t="shared" si="24"/>
        <v>1.9184942697311407</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J4pbBcpfPw6wEDhiprb8XDr4qj0aKexWNP/hynerK8W/YPkAhU0hQ6EUwZ+IRFlfalkZMrbPwH5q/1f8/OwZOQ==" saltValue="6l/y2aC9r5QRlD9aZy0Ek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GAVA</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0.35135135135135137</v>
      </c>
      <c r="E10" s="394">
        <f>IF(ISNUMBER((Datos!J10-Datos!T10)/Datos!T10),(Datos!J10-Datos!T10)/Datos!T10," - ")</f>
        <v>4.0816326530612242E-2</v>
      </c>
      <c r="F10" s="394">
        <f>IF(ISNUMBER((Datos!K10-Datos!U10)/Datos!U10),(Datos!K10-Datos!U10)/Datos!U10," - ")</f>
        <v>0.50666666666666671</v>
      </c>
      <c r="G10" s="395">
        <f>IF(ISNUMBER((Datos!L10-Datos!V10)/Datos!V10),(Datos!L10-Datos!V10)/Datos!V10," - ")</f>
        <v>-0.1</v>
      </c>
      <c r="H10" s="244">
        <f>IF(ISNUMBER((Datos!M10-Datos!W10)/Datos!W10),(Datos!M10-Datos!W10)/Datos!W10," - ")</f>
        <v>0.4838709677419355</v>
      </c>
      <c r="I10" s="396">
        <f>IF(ISNUMBER((Tasas!C10-Datos!BE10)/Datos!BE10),(Tasas!C10-Datos!BE10)/Datos!BE10," - ")</f>
        <v>-0.40265486725663713</v>
      </c>
      <c r="J10" s="395">
        <f>IF(ISNUMBER((Tasas!D10-Datos!BF10)/Datos!BF10),(Tasas!D10-Datos!BF10)/Datos!BF10," - ")</f>
        <v>-1.512988866685692E-2</v>
      </c>
      <c r="K10" s="397">
        <f>IF(ISNUMBER((Tasas!E10-Datos!BG10)/Datos!BG10),(Tasas!E10-Datos!BG10)/Datos!BG10," - ")</f>
        <v>-0.22051862523152921</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0.48013524936601859</v>
      </c>
      <c r="I12" s="396">
        <f>IF(ISNUMBER((Tasas!C12-Datos!BE12)/Datos!BE12),(Tasas!C12-Datos!BE12)/Datos!BE12," - ")</f>
        <v>-0.18031871372679847</v>
      </c>
      <c r="J12" s="395">
        <f>IF(ISNUMBER((Tasas!D12-Datos!BF12)/Datos!BF12),(Tasas!D12-Datos!BF12)/Datos!BF12," - ")</f>
        <v>-0.33598286064568689</v>
      </c>
      <c r="K12" s="397">
        <f>IF(ISNUMBER((Tasas!E12-Datos!BG12)/Datos!BG12),(Tasas!E12-Datos!BG12)/Datos!BG12," - ")</f>
        <v>-8.5829888916195793E-2</v>
      </c>
      <c r="M12" t="e">
        <f>IF(Monitorios="SI",Datos!CE12,0)</f>
        <v>#REF!</v>
      </c>
      <c r="N12" t="e">
        <f>IF(Monitorios="SI",Datos!CF12,0)</f>
        <v>#REF!</v>
      </c>
      <c r="O12" t="e">
        <f>IF(Monitorios="SI",Datos!CG12,0)</f>
        <v>#REF!</v>
      </c>
      <c r="P12" t="e">
        <f>IF(Monitorios="SI",Datos!CH12,0)</f>
        <v>#REF!</v>
      </c>
      <c r="Q12">
        <f>IF(J_V="SI",0,Datos!AG12)</f>
        <v>119</v>
      </c>
      <c r="R12">
        <f>IF(J_V="SI",0,Datos!AH12)</f>
        <v>97</v>
      </c>
      <c r="S12">
        <f>IF(J_V="SI",0,Datos!AI12)</f>
        <v>99</v>
      </c>
      <c r="T12">
        <f>IF(J_V="SI",0,Datos!AJ12)</f>
        <v>117</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0.48023064250411862</v>
      </c>
      <c r="I14" s="403">
        <f>IF(ISNUMBER((Tasas!C14-Datos!BE14)/Datos!BE14),(Tasas!C14-Datos!BE14)/Datos!BE14," - ")</f>
        <v>-0.18484093637454982</v>
      </c>
      <c r="J14" s="401">
        <f>IF(ISNUMBER((Tasas!D14-Datos!BF14)/Datos!BF14),(Tasas!D14-Datos!BF14)/Datos!BF14," - ")</f>
        <v>-0.33025401650021713</v>
      </c>
      <c r="K14" s="404">
        <f>IF(ISNUMBER((Tasas!E14-Datos!BG14)/Datos!BG14),(Tasas!E14-Datos!BG14)/Datos!BG14," - ")</f>
        <v>-8.8030567380836047E-2</v>
      </c>
      <c r="M14" t="e">
        <f>IF(Monitorios="SI",Datos!CE14,0)</f>
        <v>#REF!</v>
      </c>
      <c r="N14" t="e">
        <f>IF(Monitorios="SI",Datos!CF14,0)</f>
        <v>#REF!</v>
      </c>
      <c r="O14" t="e">
        <f>IF(Monitorios="SI",Datos!CG14,0)</f>
        <v>#REF!</v>
      </c>
      <c r="P14" t="e">
        <f>IF(Monitorios="SI",Datos!CH14,0)</f>
        <v>#REF!</v>
      </c>
      <c r="Q14">
        <f>IF(J_V="SI",0,Datos!AG14)</f>
        <v>119</v>
      </c>
      <c r="R14">
        <f>IF(J_V="SI",0,Datos!AH14)</f>
        <v>97</v>
      </c>
      <c r="S14">
        <f>IF(J_V="SI",0,Datos!AI14)</f>
        <v>99</v>
      </c>
      <c r="T14">
        <f>IF(J_V="SI",0,Datos!AJ14)</f>
        <v>117</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0.16418604651162791</v>
      </c>
      <c r="E17" s="394">
        <f>IF(ISNUMBER(
   IF(D_I="SI",(Datos!J17-Datos!T17)/Datos!T17,(Datos!J17+Datos!AD17-(Datos!T17+Datos!AL17))/(Datos!T17+Datos!AL17))
     ),IF(D_I="SI",(Datos!J17-Datos!T17)/Datos!T17,(Datos!J17+Datos!AD17-(Datos!T17+Datos!AL17))/(Datos!T17+Datos!AL17))," - ")</f>
        <v>8.9371666449850395E-2</v>
      </c>
      <c r="F17" s="394">
        <f>IF(ISNUMBER(
   IF(D_I="SI",(Datos!K17-Datos!U17)/Datos!U17,(Datos!K17+Datos!AE17-(Datos!U17+Datos!AM17))/(Datos!U17+Datos!AM17))
     ),IF(D_I="SI",(Datos!K17-Datos!U17)/Datos!U17,(Datos!K17+Datos!AE17-(Datos!U17+Datos!AM17))/(Datos!U17+Datos!AM17))," - ")</f>
        <v>0.1667134831460674</v>
      </c>
      <c r="G17" s="395">
        <f>IF(ISNUMBER(
   IF(D_I="SI",(Datos!L17-Datos!V17)/Datos!V17,(Datos!L17+Datos!AF17-(Datos!V17+Datos!AN17))/(Datos!V17+Datos!AN17))
     ),IF(D_I="SI",(Datos!L17-Datos!V17)/Datos!V17,(Datos!L17+Datos!AF17-(Datos!V17+Datos!AN17))/(Datos!V17+Datos!AN17))," - ")</f>
        <v>-4.3547742708749504E-2</v>
      </c>
      <c r="H17" s="244">
        <f>IF(ISNUMBER((Datos!M17-Datos!W17)/Datos!W17),(Datos!M17-Datos!W17)/Datos!W17," - ")</f>
        <v>0.2803398058252427</v>
      </c>
      <c r="I17" s="396">
        <f>IF(ISNUMBER((Tasas!C17-Datos!BE17)/Datos!BE17),(Tasas!C17-Datos!BE17)/Datos!BE17," - ")</f>
        <v>-0.18021667606672642</v>
      </c>
      <c r="J17" s="395">
        <f>IF(ISNUMBER((Tasas!D17-Datos!BF17)/Datos!BF17),(Tasas!D17-Datos!BF17)/Datos!BF17," - ")</f>
        <v>9.7390082758604626E-2</v>
      </c>
      <c r="K17" s="397">
        <f>IF(ISNUMBER((Tasas!E17-Datos!BG17)/Datos!BG17),(Tasas!E17-Datos!BG17)/Datos!BG17," - ")</f>
        <v>-5.2275211014778757E-2</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0.59154929577464788</v>
      </c>
      <c r="E18" s="394">
        <f>IF(ISNUMBER(
   IF(D_I="SI",(Datos!J18-Datos!T18)/Datos!T18,(Datos!J18+Datos!AD18-(Datos!T18+Datos!AL18))/(Datos!T18+Datos!AL18))
     ),IF(D_I="SI",(Datos!J18-Datos!T18)/Datos!T18,(Datos!J18+Datos!AD18-(Datos!T18+Datos!AL18))/(Datos!T18+Datos!AL18))," - ")</f>
        <v>-0.12032085561497326</v>
      </c>
      <c r="F18" s="394">
        <f>IF(ISNUMBER(
   IF(D_I="SI",(Datos!K18-Datos!U18)/Datos!U18,(Datos!K18+Datos!AE18-(Datos!U18+Datos!AM18))/(Datos!U18+Datos!AM18))
     ),IF(D_I="SI",(Datos!K18-Datos!U18)/Datos!U18,(Datos!K18+Datos!AE18-(Datos!U18+Datos!AM18))/(Datos!U18+Datos!AM18))," - ")</f>
        <v>-8.408408408408409E-2</v>
      </c>
      <c r="G18" s="395">
        <f>IF(ISNUMBER(
   IF(D_I="SI",(Datos!L18-Datos!V18)/Datos!V18,(Datos!L18+Datos!AF18-(Datos!V18+Datos!AN18))/(Datos!V18+Datos!AN18))
     ),IF(D_I="SI",(Datos!L18-Datos!V18)/Datos!V18,(Datos!L18+Datos!AF18-(Datos!V18+Datos!AN18))/(Datos!V18+Datos!AN18))," - ")</f>
        <v>0.21238938053097345</v>
      </c>
      <c r="H18" s="244">
        <f>IF(ISNUMBER((Datos!M18-Datos!W18)/Datos!W18),(Datos!M18-Datos!W18)/Datos!W18," - ")</f>
        <v>0.22222222222222221</v>
      </c>
      <c r="I18" s="396">
        <f>IF(ISNUMBER((Tasas!C18-Datos!BE18)/Datos!BE18),(Tasas!C18-Datos!BE18)/Datos!BE18," - ")</f>
        <v>0.32369070071086609</v>
      </c>
      <c r="J18" s="395">
        <f>IF(ISNUMBER((Tasas!D18-Datos!BF18)/Datos!BF18),(Tasas!D18-Datos!BF18)/Datos!BF18," - ")</f>
        <v>0.33442622950819673</v>
      </c>
      <c r="K18" s="397">
        <f>IF(ISNUMBER((Tasas!E18-Datos!BG18)/Datos!BG18),(Tasas!E18-Datos!BG18)/Datos!BG18," - ")</f>
        <v>8.4442807146804202E-2</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0.19066317626527052</v>
      </c>
      <c r="E23" s="400">
        <f>IF(ISNUMBER(
   IF(D_I="SI",(Datos!J23-Datos!T23)/Datos!T23,(Datos!J23+Datos!AD23-(Datos!T23+Datos!AL23))/(Datos!T23+Datos!AL23))
     ),IF(D_I="SI",(Datos!J23-Datos!T23)/Datos!T23,(Datos!J23+Datos!AD23-(Datos!T23+Datos!AL23))/(Datos!T23+Datos!AL23))," - ")</f>
        <v>7.0776526378186128E-2</v>
      </c>
      <c r="F23" s="400">
        <f>IF(ISNUMBER(
   IF(D_I="SI",(Datos!K23-Datos!U23)/Datos!U23,(Datos!K23+Datos!AE23-(Datos!U23+Datos!AM23))/(Datos!U23+Datos!AM23))
     ),IF(D_I="SI",(Datos!K23-Datos!U23)/Datos!U23,(Datos!K23+Datos!AE23-(Datos!U23+Datos!AM23))/(Datos!U23+Datos!AM23))," - ")</f>
        <v>0.14526072437708709</v>
      </c>
      <c r="G23" s="401">
        <f>IF(ISNUMBER(
   IF(D_I="SI",(Datos!L23-Datos!V23)/Datos!V23,(Datos!L23+Datos!AF23-(Datos!V23+Datos!AN23))/(Datos!V23+Datos!AN23))
     ),IF(D_I="SI",(Datos!L23-Datos!V23)/Datos!V23,(Datos!L23+Datos!AF23-(Datos!V23+Datos!AN23))/(Datos!V23+Datos!AN23))," - ")</f>
        <v>-2.2352510076951264E-2</v>
      </c>
      <c r="H23" s="402">
        <f>IF(ISNUMBER((Datos!M23-Datos!W23)/Datos!W23),(Datos!M23-Datos!W23)/Datos!W23," - ")</f>
        <v>0.27909738717339666</v>
      </c>
      <c r="I23" s="403">
        <f>IF(ISNUMBER((Tasas!C23-Datos!BE23)/Datos!BE23),(Tasas!C23-Datos!BE23)/Datos!BE23," - ")</f>
        <v>-0.14635377856444348</v>
      </c>
      <c r="J23" s="401">
        <f>IF(ISNUMBER((Tasas!D23-Datos!BF23)/Datos!BF23),(Tasas!D23-Datos!BF23)/Datos!BF23," - ")</f>
        <v>0.11686130498284932</v>
      </c>
      <c r="K23" s="404">
        <f>IF(ISNUMBER((Tasas!E23-Datos!BG23)/Datos!BG23),(Tasas!E23-Datos!BG23)/Datos!BG23," - ")</f>
        <v>-4.2670146785987371E-2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0.1707050179771768</v>
      </c>
      <c r="E31" s="410">
        <f>IF(ISNUMBER(
   IF(J_V="SI",(Datos!J31-Datos!T31)/Datos!T31,(Datos!J31+Datos!Z31-(Datos!T31+Datos!AH31))/(Datos!T31+Datos!AH31))
     ),IF(J_V="SI",(Datos!J31-Datos!T31)/Datos!T31,(Datos!J31+Datos!Z31-(Datos!T31+Datos!AH31))/(Datos!T31+Datos!AH31))," - ")</f>
        <v>0.16436663233779608</v>
      </c>
      <c r="F31" s="410">
        <f>IF(ISNUMBER(
   IF(J_V="SI",(Datos!K31-Datos!U31)/Datos!U31,(Datos!K31+Datos!AA31-(Datos!U31+Datos!AI31))/(Datos!U31+Datos!AI31))
     ),IF(J_V="SI",(Datos!K31-Datos!U31)/Datos!U31,(Datos!K31+Datos!AA31-(Datos!U31+Datos!AI31))/(Datos!U31+Datos!AI31))," - ")</f>
        <v>0.23344658361645904</v>
      </c>
      <c r="G31" s="411">
        <f>IF(ISNUMBER(
   IF(J_V="SI",(Datos!L31-Datos!V31)/Datos!V31,(Datos!L31+Datos!AB31-(Datos!V31+Datos!AJ31))/(Datos!V31+Datos!AJ31))
     ),IF(J_V="SI",(Datos!L31-Datos!V31)/Datos!V31,(Datos!L31+Datos!AB31-(Datos!V31+Datos!AJ31))/(Datos!V31+Datos!AJ31))," - ")</f>
        <v>6.0488716784617438E-2</v>
      </c>
      <c r="H31" s="412">
        <f>IF(ISNUMBER((Datos!M31-Datos!W31)/Datos!W31),(Datos!M31-Datos!W31)/Datos!W31," - ")</f>
        <v>0.3978599221789883</v>
      </c>
      <c r="I31" s="409">
        <f>IF(ISNUMBER((Tasas!C31-Datos!BE31)/Datos!BE31),(Tasas!C31-Datos!BE31)/Datos!BE31," - ")</f>
        <v>-0.14022323230628278</v>
      </c>
      <c r="J31" s="410">
        <f>IF(ISNUMBER((Tasas!D31-Datos!BF31)/Datos!BF31),(Tasas!D31-Datos!BF31)/Datos!BF31," - ")</f>
        <v>-0.17256522944292654</v>
      </c>
      <c r="K31" s="411">
        <f>IF(ISNUMBER((Tasas!E31-Datos!BG31)/Datos!BG31),(Tasas!E31-Datos!BG31)/Datos!BG31," - ")</f>
        <v>-5.4437426820202209E-2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0.19634083025217111</v>
      </c>
      <c r="E33" s="303">
        <f t="shared" si="1"/>
        <v>9.5766803803227218E-2</v>
      </c>
      <c r="F33" s="303">
        <f t="shared" si="1"/>
        <v>0.24343506207611762</v>
      </c>
      <c r="G33" s="304">
        <f t="shared" si="1"/>
        <v>0.13779813716020647</v>
      </c>
      <c r="H33" s="310">
        <f t="shared" si="1"/>
        <v>0.12278589307778802</v>
      </c>
      <c r="I33" s="302">
        <f t="shared" si="1"/>
        <v>0.24020414553784303</v>
      </c>
      <c r="J33" s="303">
        <f t="shared" si="1"/>
        <v>0.26616874561348502</v>
      </c>
      <c r="K33" s="304">
        <f t="shared" si="1"/>
        <v>9.8088856463080937E-2</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jrY7ppuJXkgeeMAucFNz0obtgS5xLRRkb3MOBbSeA/bVL/7fnbk1BOSxxF1LqkIiYGRnBRyLCGPUmy+KuXEXg==" saltValue="8Y6YYGHVJUaKk5f4ZvXeq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